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560" windowHeight="5970" tabRatio="750" activeTab="2"/>
  </bookViews>
  <sheets>
    <sheet name="cover" sheetId="1" r:id="rId1"/>
    <sheet name="TOC" sheetId="2" r:id="rId2"/>
    <sheet name="1" sheetId="3" r:id="rId3"/>
    <sheet name="2" sheetId="4" r:id="rId4"/>
    <sheet name="3" sheetId="5" r:id="rId5"/>
    <sheet name="4" sheetId="6" r:id="rId6"/>
    <sheet name="5" sheetId="7" r:id="rId7"/>
    <sheet name="5.1" sheetId="8" r:id="rId8"/>
    <sheet name="5.2" sheetId="9" r:id="rId9"/>
    <sheet name="5.3" sheetId="10" r:id="rId10"/>
    <sheet name="5.4" sheetId="11" r:id="rId11"/>
    <sheet name="6" sheetId="12" r:id="rId12"/>
    <sheet name="7" sheetId="13" r:id="rId13"/>
    <sheet name="_2" sheetId="14" r:id="rId14"/>
    <sheet name="form" sheetId="15" r:id="rId15"/>
    <sheet name="a" sheetId="16" r:id="rId16"/>
  </sheets>
  <definedNames>
    <definedName name="coname">'cover'!$T$63</definedName>
    <definedName name="cosymbol">'cover'!$A$63</definedName>
    <definedName name="docno">'cover'!$Q$1</definedName>
    <definedName name="_xlnm.Print_Area" localSheetId="13">'_2'!$A$1:$Z$63</definedName>
    <definedName name="_xlnm.Print_Area" localSheetId="2">'1'!$A$1:$Z$63</definedName>
    <definedName name="_xlnm.Print_Area" localSheetId="3">'2'!$A$1:$Z$63</definedName>
    <definedName name="_xlnm.Print_Area" localSheetId="4">'3'!$A$1:$Z$63</definedName>
    <definedName name="_xlnm.Print_Area" localSheetId="5">'4'!$A$1:$Z$63</definedName>
    <definedName name="_xlnm.Print_Area" localSheetId="6">'5'!$A$1:$Z$63</definedName>
    <definedName name="_xlnm.Print_Area" localSheetId="7">'5.1'!$A$1:$Z$63</definedName>
    <definedName name="_xlnm.Print_Area" localSheetId="8">'5.2'!$A$1:$Z$63</definedName>
    <definedName name="_xlnm.Print_Area" localSheetId="9">'5.3'!$A$1:$Z$63</definedName>
    <definedName name="_xlnm.Print_Area" localSheetId="10">'5.4'!$A$1:$Z$63</definedName>
    <definedName name="_xlnm.Print_Area" localSheetId="11">'6'!$A$1:$Z$63</definedName>
    <definedName name="_xlnm.Print_Area" localSheetId="12">'7'!$A$1:$Z$63</definedName>
    <definedName name="_xlnm.Print_Area" localSheetId="15">'a'!$A$1:$U$63</definedName>
    <definedName name="_xlnm.Print_Area" localSheetId="0">'cover'!$A$1:$T$63</definedName>
    <definedName name="_xlnm.Print_Area" localSheetId="14">'form'!$A$1:$Z$63</definedName>
    <definedName name="_xlnm.Print_Area" localSheetId="1">'TOC'!$A$1:$AB$63</definedName>
    <definedName name="sheetqty">'1'!$Z$4</definedName>
    <definedName name="title">'cover'!$F$12</definedName>
    <definedName name="title2">'cover'!$F$10</definedName>
    <definedName name="toc1">'1'!$D$7</definedName>
    <definedName name="toc2">'2'!$D$7</definedName>
    <definedName name="toc3">'3'!$D$7</definedName>
    <definedName name="toc4">'4'!$D$7</definedName>
    <definedName name="toc5">'5'!$D$7</definedName>
    <definedName name="toc51">'5.1'!$D$9</definedName>
    <definedName name="toc52">'5.2'!$D$9</definedName>
    <definedName name="toc53">'5.3'!$D$9</definedName>
    <definedName name="toc54">'5.4'!$D$9</definedName>
    <definedName name="toc6">'6'!$D$7</definedName>
    <definedName name="toc7">'7'!$D$7</definedName>
    <definedName name="toc71">'7'!$D$9</definedName>
    <definedName name="toc72">'_2'!$D$10</definedName>
  </definedNames>
  <calcPr fullCalcOnLoad="1"/>
</workbook>
</file>

<file path=xl/comments10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11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12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13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14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15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16.xml><?xml version="1.0" encoding="utf-8"?>
<comments xmlns="http://schemas.openxmlformats.org/spreadsheetml/2006/main">
  <authors>
    <author>MASTER</author>
  </authors>
  <commentList>
    <comment ref="W10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3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4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5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6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7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8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9.xml><?xml version="1.0" encoding="utf-8"?>
<comments xmlns="http://schemas.openxmlformats.org/spreadsheetml/2006/main">
  <authors>
    <author>MASTER</author>
  </authors>
  <commentList>
    <comment ref="AB5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sharedStrings.xml><?xml version="1.0" encoding="utf-8"?>
<sst xmlns="http://schemas.openxmlformats.org/spreadsheetml/2006/main" count="874" uniqueCount="359">
  <si>
    <t>*2)</t>
  </si>
  <si>
    <t>*3)</t>
  </si>
  <si>
    <t>*4)</t>
  </si>
  <si>
    <t>A A A A A</t>
  </si>
  <si>
    <t xml:space="preserve"> Project</t>
  </si>
  <si>
    <t>Job No.</t>
  </si>
  <si>
    <t xml:space="preserve"> Client</t>
  </si>
  <si>
    <t>Doc. No.</t>
  </si>
  <si>
    <t xml:space="preserve"> Contractor</t>
  </si>
  <si>
    <t>Date</t>
  </si>
  <si>
    <t xml:space="preserve"> Code/Standard</t>
  </si>
  <si>
    <t>Revision</t>
  </si>
  <si>
    <t xml:space="preserve"> Service of Unit</t>
  </si>
  <si>
    <t>Item No.</t>
  </si>
  <si>
    <t xml:space="preserve"> Type</t>
  </si>
  <si>
    <t>D E S I G N     I N F O R M A T I O N</t>
  </si>
  <si>
    <t>DI - AAA - 100</t>
  </si>
  <si>
    <t>- B L A N K -</t>
  </si>
  <si>
    <t>B B B B B</t>
  </si>
  <si>
    <t>*1)</t>
  </si>
  <si>
    <t>*5)</t>
  </si>
  <si>
    <r>
      <t xml:space="preserve"> </t>
    </r>
    <r>
      <rPr>
        <b/>
        <u val="single"/>
        <sz val="8"/>
        <rFont val="Arial"/>
        <family val="2"/>
      </rPr>
      <t>Notes</t>
    </r>
  </si>
  <si>
    <t>2013.    1.    7.</t>
  </si>
  <si>
    <t>Sheet No.</t>
  </si>
  <si>
    <t>of</t>
  </si>
  <si>
    <t>of</t>
  </si>
  <si>
    <t>x</t>
  </si>
  <si>
    <t>2019.    6.    10.</t>
  </si>
  <si>
    <t xml:space="preserve"> NTES</t>
  </si>
  <si>
    <t>x</t>
  </si>
  <si>
    <t>sheetqty</t>
  </si>
  <si>
    <t>나 래 열 기 술</t>
  </si>
  <si>
    <t xml:space="preserve">Narai  Thermal  Engineering  Services </t>
  </si>
  <si>
    <t xml:space="preserve"> Rev.</t>
  </si>
  <si>
    <t xml:space="preserve"> Sheet No.</t>
  </si>
  <si>
    <t>of</t>
  </si>
  <si>
    <t>1.</t>
  </si>
  <si>
    <t>2.</t>
  </si>
  <si>
    <t>3.</t>
  </si>
  <si>
    <t>4.</t>
  </si>
  <si>
    <t>Doc. No.</t>
  </si>
  <si>
    <t>Technical   Guide</t>
  </si>
  <si>
    <t>Technical   Material</t>
  </si>
  <si>
    <t>Total</t>
  </si>
  <si>
    <t>sheets with a cover</t>
  </si>
  <si>
    <t>S. J. Lee</t>
  </si>
  <si>
    <t>Lee</t>
  </si>
  <si>
    <t>LSJ</t>
  </si>
  <si>
    <t>Rev.</t>
  </si>
  <si>
    <t>Date</t>
  </si>
  <si>
    <t>Description</t>
  </si>
  <si>
    <t>Prepared</t>
  </si>
  <si>
    <t>Reviewed</t>
  </si>
  <si>
    <t>Approved</t>
  </si>
  <si>
    <t>Homepage</t>
  </si>
  <si>
    <t>www.ntes.co.kr</t>
  </si>
  <si>
    <t>E-mail</t>
  </si>
  <si>
    <t>ntes@ntes.co.kr</t>
  </si>
  <si>
    <t xml:space="preserve"> Doc. No.</t>
  </si>
  <si>
    <t xml:space="preserve"> Date</t>
  </si>
  <si>
    <t>T a b l e     of     C o n t e n t s</t>
  </si>
  <si>
    <t>2019. 6. 10.</t>
  </si>
  <si>
    <t xml:space="preserve">   Originally prepared.</t>
  </si>
  <si>
    <t>M A T H E M A T I C     F U N C T I O N</t>
  </si>
  <si>
    <t>TM - MFN - 100</t>
  </si>
  <si>
    <t>2019.    6.    10.</t>
  </si>
  <si>
    <t xml:space="preserve"> Revision</t>
  </si>
  <si>
    <t>1.</t>
  </si>
  <si>
    <t>x.</t>
  </si>
  <si>
    <t>Aaa</t>
  </si>
  <si>
    <t>Factorial</t>
  </si>
  <si>
    <t>Definition</t>
  </si>
  <si>
    <t>!</t>
  </si>
  <si>
    <t>=</t>
  </si>
  <si>
    <t>n</t>
  </si>
  <si>
    <t>!</t>
  </si>
  <si>
    <t>x</t>
  </si>
  <si>
    <t>. . . . . .</t>
  </si>
  <si>
    <t>Calculation</t>
  </si>
  <si>
    <t>=</t>
  </si>
  <si>
    <t>lim</t>
  </si>
  <si>
    <t>Σ</t>
  </si>
  <si>
    <t>-</t>
  </si>
  <si>
    <t>ln (</t>
  </si>
  <si>
    <t>)</t>
  </si>
  <si>
    <t>m</t>
  </si>
  <si>
    <t>γ</t>
  </si>
  <si>
    <t>m = 1</t>
  </si>
  <si>
    <t>[</t>
  </si>
  <si>
    <t>]</t>
  </si>
  <si>
    <t>+</t>
  </si>
  <si>
    <t>VBA</t>
  </si>
  <si>
    <t>%</t>
  </si>
  <si>
    <t>Deviation</t>
  </si>
  <si>
    <t xml:space="preserve"> Doc. No.</t>
  </si>
  <si>
    <t xml:space="preserve"> Date</t>
  </si>
  <si>
    <t>2019.    6.    10.</t>
  </si>
  <si>
    <t xml:space="preserve"> Revision</t>
  </si>
  <si>
    <t xml:space="preserve"> Sheet No.</t>
  </si>
  <si>
    <t>of</t>
  </si>
  <si>
    <r>
      <t>The hyperbolic functions are certain combinations of exponentials e</t>
    </r>
    <r>
      <rPr>
        <vertAlign val="superscript"/>
        <sz val="9"/>
        <rFont val="Arial"/>
        <family val="2"/>
      </rPr>
      <t>x</t>
    </r>
    <r>
      <rPr>
        <sz val="8"/>
        <rFont val="Arial"/>
        <family val="2"/>
      </rPr>
      <t xml:space="preserve"> and e</t>
    </r>
    <r>
      <rPr>
        <vertAlign val="superscript"/>
        <sz val="9"/>
        <rFont val="Arial"/>
        <family val="2"/>
      </rPr>
      <t>-x</t>
    </r>
    <r>
      <rPr>
        <sz val="8"/>
        <rFont val="Arial"/>
        <family val="2"/>
      </rPr>
      <t>.</t>
    </r>
  </si>
  <si>
    <t>(</t>
  </si>
  <si>
    <t>)</t>
  </si>
  <si>
    <t>sinh</t>
  </si>
  <si>
    <r>
      <t>e</t>
    </r>
    <r>
      <rPr>
        <vertAlign val="superscript"/>
        <sz val="9"/>
        <rFont val="Arial"/>
        <family val="2"/>
      </rPr>
      <t>x</t>
    </r>
  </si>
  <si>
    <r>
      <t>e</t>
    </r>
    <r>
      <rPr>
        <vertAlign val="superscript"/>
        <sz val="9"/>
        <rFont val="Arial"/>
        <family val="2"/>
      </rPr>
      <t>-x</t>
    </r>
  </si>
  <si>
    <t>-</t>
  </si>
  <si>
    <t>cosh</t>
  </si>
  <si>
    <t>+</t>
  </si>
  <si>
    <t>tanh</t>
  </si>
  <si>
    <t>Bessel functions, first defined by the mathematician Daniel Bernoulli and then generalized by Friedrich Bessel,</t>
  </si>
  <si>
    <t>are the canonical solutions y(x) of Bessel's differential equation :</t>
  </si>
  <si>
    <r>
      <t xml:space="preserve">x </t>
    </r>
    <r>
      <rPr>
        <vertAlign val="superscript"/>
        <sz val="8"/>
        <rFont val="Arial"/>
        <family val="2"/>
      </rPr>
      <t>2</t>
    </r>
  </si>
  <si>
    <r>
      <t xml:space="preserve">d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y</t>
    </r>
  </si>
  <si>
    <t>d y</t>
  </si>
  <si>
    <t>(</t>
  </si>
  <si>
    <r>
      <t xml:space="preserve">α </t>
    </r>
    <r>
      <rPr>
        <vertAlign val="superscript"/>
        <sz val="8"/>
        <rFont val="Arial"/>
        <family val="2"/>
      </rPr>
      <t>2</t>
    </r>
  </si>
  <si>
    <t>y</t>
  </si>
  <si>
    <r>
      <t xml:space="preserve">d x </t>
    </r>
    <r>
      <rPr>
        <vertAlign val="superscript"/>
        <sz val="8"/>
        <rFont val="Arial"/>
        <family val="2"/>
      </rPr>
      <t>2</t>
    </r>
  </si>
  <si>
    <t>d x</t>
  </si>
  <si>
    <t>for an arbitrary complex number α, the order of the Bessel function.</t>
  </si>
  <si>
    <t>Applications</t>
  </si>
  <si>
    <t>Because this is a second-order differential equation, there must be two linearly independent solutions.</t>
  </si>
  <si>
    <t>Depending upon the circumstances, however, various formulations of these solutions are convenient.</t>
  </si>
  <si>
    <t>Different variations are summarized in the table below and described in the following sections.</t>
  </si>
  <si>
    <t>Type</t>
  </si>
  <si>
    <t>First Kind</t>
  </si>
  <si>
    <t>Second Kind</t>
  </si>
  <si>
    <t>Bessel Functions</t>
  </si>
  <si>
    <t>Jα</t>
  </si>
  <si>
    <t>Yα</t>
  </si>
  <si>
    <t>Modified Bessel Functions</t>
  </si>
  <si>
    <t>Iα</t>
  </si>
  <si>
    <t>Kα</t>
  </si>
  <si>
    <t>Hankel Functions</t>
  </si>
  <si>
    <r>
      <t xml:space="preserve">Hα 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= Jα + i Yα</t>
    </r>
  </si>
  <si>
    <r>
      <t xml:space="preserve">Hα 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= Jα - i Yα</t>
    </r>
  </si>
  <si>
    <t>Spherical Bessel Functions</t>
  </si>
  <si>
    <t>jn</t>
  </si>
  <si>
    <t>yn</t>
  </si>
  <si>
    <t>Spherical Hankel Functions</t>
  </si>
  <si>
    <r>
      <t xml:space="preserve">hn 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= jn + i yn</t>
    </r>
  </si>
  <si>
    <r>
      <t xml:space="preserve">hn 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= jn - i yn</t>
    </r>
  </si>
  <si>
    <t>Bessel Function</t>
  </si>
  <si>
    <t>:</t>
  </si>
  <si>
    <t>∞</t>
  </si>
  <si>
    <t>)  ^</t>
  </si>
  <si>
    <t>Γ</t>
  </si>
  <si>
    <t>α</t>
  </si>
  <si>
    <t>Where,</t>
  </si>
  <si>
    <t>Gamma Function</t>
  </si>
  <si>
    <t>*</t>
  </si>
  <si>
    <t>For integer,</t>
  </si>
  <si>
    <t>For integer order α, the following relationship is valid.</t>
  </si>
  <si>
    <t xml:space="preserve"> Doc. No.</t>
  </si>
  <si>
    <t xml:space="preserve"> Date</t>
  </si>
  <si>
    <t xml:space="preserve"> Revision</t>
  </si>
  <si>
    <t xml:space="preserve"> Sheet No.</t>
  </si>
  <si>
    <t>The Bessel functions are valid even for complex arguments x, and an important special case is that of a purely imaginary</t>
  </si>
  <si>
    <t>argument.</t>
  </si>
  <si>
    <t>In this case, the solutions to the Bessel equation are called the modified Bessel functions and are defined as :</t>
  </si>
  <si>
    <t>∞</t>
  </si>
  <si>
    <t>=</t>
  </si>
  <si>
    <r>
      <t xml:space="preserve">i </t>
    </r>
    <r>
      <rPr>
        <vertAlign val="superscript"/>
        <sz val="10"/>
        <rFont val="Arial"/>
        <family val="2"/>
      </rPr>
      <t>- α</t>
    </r>
  </si>
  <si>
    <t>Σ</t>
  </si>
  <si>
    <t>(</t>
  </si>
  <si>
    <t>x</t>
  </si>
  <si>
    <t>)  ^</t>
  </si>
  <si>
    <t>Γ</t>
  </si>
  <si>
    <t>+</t>
  </si>
  <si>
    <t>)</t>
  </si>
  <si>
    <t>π</t>
  </si>
  <si>
    <r>
      <t xml:space="preserve">I </t>
    </r>
    <r>
      <rPr>
        <vertAlign val="subscript"/>
        <sz val="10"/>
        <rFont val="Arial"/>
        <family val="2"/>
      </rPr>
      <t xml:space="preserve">- α </t>
    </r>
    <r>
      <rPr>
        <sz val="10"/>
        <rFont val="Arial"/>
        <family val="2"/>
      </rPr>
      <t>( x )</t>
    </r>
  </si>
  <si>
    <t>-</t>
  </si>
  <si>
    <r>
      <t xml:space="preserve">I </t>
    </r>
    <r>
      <rPr>
        <vertAlign val="subscript"/>
        <sz val="10"/>
        <rFont val="Arial"/>
        <family val="2"/>
      </rPr>
      <t xml:space="preserve">α </t>
    </r>
    <r>
      <rPr>
        <sz val="10"/>
        <rFont val="Arial"/>
        <family val="2"/>
      </rPr>
      <t>( x )</t>
    </r>
  </si>
  <si>
    <t>I0(x)</t>
  </si>
  <si>
    <t>^</t>
  </si>
  <si>
    <t>. . . . . .</t>
  </si>
  <si>
    <t>2 !</t>
  </si>
  <si>
    <t>3 !</t>
  </si>
  <si>
    <t>I1(x)</t>
  </si>
  <si>
    <t>K0(x)</t>
  </si>
  <si>
    <t>n</t>
  </si>
  <si>
    <t>J0(x)</t>
  </si>
  <si>
    <t>^</t>
  </si>
  <si>
    <t>1 !</t>
  </si>
  <si>
    <t>2 !</t>
  </si>
  <si>
    <t>∞</t>
  </si>
  <si>
    <t>1 !</t>
  </si>
  <si>
    <t>0 !</t>
  </si>
  <si>
    <t>2 !</t>
  </si>
  <si>
    <t>γ</t>
  </si>
  <si>
    <t>α</t>
  </si>
  <si>
    <t>)  !</t>
  </si>
  <si>
    <t>[</t>
  </si>
  <si>
    <t>]</t>
  </si>
  <si>
    <t>Euler's Constant</t>
  </si>
  <si>
    <t>*</t>
  </si>
  <si>
    <t>I0(x)</t>
  </si>
  <si>
    <t>K1(x)</t>
  </si>
  <si>
    <t>Bessel Function of the First Kind,  Jα</t>
  </si>
  <si>
    <t>Bessel Function of the Second Kind,  Yα</t>
  </si>
  <si>
    <t>Modified Bessel Functions,  Iα</t>
  </si>
  <si>
    <t>Modified Bessel Functions,  Kα</t>
  </si>
  <si>
    <t>5.</t>
  </si>
  <si>
    <t>5.1</t>
  </si>
  <si>
    <t>5.2</t>
  </si>
  <si>
    <t>5.3</t>
  </si>
  <si>
    <t>5.4</t>
  </si>
  <si>
    <t>Introduction</t>
  </si>
  <si>
    <t>References in english only are listed as below.</t>
  </si>
  <si>
    <t>Perry's Chemical Engineers' Handbook, 7th Edition</t>
  </si>
  <si>
    <t>Applied Mathematics and Modeling for Chemical Engineers, John Wiley &amp; Sons, Inc.</t>
  </si>
  <si>
    <t>VBA ( Visual Basic Application ) are included for calculations of functions.</t>
  </si>
  <si>
    <t>Numerical Methods for Mathematics, Science, and Engineering, Prentice Hall Inc.</t>
  </si>
  <si>
    <t>Mathematic functions are extracted and summarized for fluid property, heat transfer and hydraulic calculations.</t>
  </si>
  <si>
    <t>Hyperbolic ( Trigonometric ) Function</t>
  </si>
  <si>
    <t>Trigonometry</t>
  </si>
  <si>
    <t>Mathematic Constants</t>
  </si>
  <si>
    <t xml:space="preserve"> Doc. No.</t>
  </si>
  <si>
    <t xml:space="preserve"> Date</t>
  </si>
  <si>
    <t>2019.    6.    10.</t>
  </si>
  <si>
    <t xml:space="preserve"> Revision</t>
  </si>
  <si>
    <t xml:space="preserve"> Sheet No.</t>
  </si>
  <si>
    <t>of</t>
  </si>
  <si>
    <t>Numerical Methods</t>
  </si>
  <si>
    <t>2.</t>
  </si>
  <si>
    <t>J1(x)</t>
  </si>
  <si>
    <t>1 !</t>
  </si>
  <si>
    <t>2 !</t>
  </si>
  <si>
    <r>
      <t xml:space="preserve">J </t>
    </r>
    <r>
      <rPr>
        <vertAlign val="subscript"/>
        <sz val="10"/>
        <rFont val="Arial"/>
        <family val="2"/>
      </rPr>
      <t xml:space="preserve">- α </t>
    </r>
    <r>
      <rPr>
        <sz val="10"/>
        <rFont val="Arial"/>
        <family val="2"/>
      </rPr>
      <t>( x )</t>
    </r>
  </si>
  <si>
    <r>
      <t xml:space="preserve">J </t>
    </r>
    <r>
      <rPr>
        <vertAlign val="subscript"/>
        <sz val="10"/>
        <rFont val="Arial"/>
        <family val="2"/>
      </rPr>
      <t xml:space="preserve">α </t>
    </r>
    <r>
      <rPr>
        <sz val="10"/>
        <rFont val="Arial"/>
        <family val="2"/>
      </rPr>
      <t>( x )</t>
    </r>
  </si>
  <si>
    <t>Y0(x)</t>
  </si>
  <si>
    <t>x</t>
  </si>
  <si>
    <t>γ</t>
  </si>
  <si>
    <t>π</t>
  </si>
  <si>
    <t>n</t>
  </si>
  <si>
    <t>Bessel functions are especially important for many problems of wave propagation and static potentials.</t>
  </si>
  <si>
    <t>For example :</t>
  </si>
  <si>
    <t>Electromagnatic Waves in a cylindrical Waveguide</t>
  </si>
  <si>
    <t>Pressure Amplitudes of Inviscid Rotational Flows</t>
  </si>
  <si>
    <t>Heat Conduction in a Cylindrical Object</t>
  </si>
  <si>
    <t>Modes of Vibration of a Thin Circular Acoustic Membrane</t>
  </si>
  <si>
    <t>Diffusion Problems on a Lattice</t>
  </si>
  <si>
    <t>Frequency-dependent Friction in Circular Pipelines</t>
  </si>
  <si>
    <t>deg</t>
  </si>
  <si>
    <t>rad</t>
  </si>
  <si>
    <t>e</t>
  </si>
  <si>
    <t>Pi</t>
  </si>
  <si>
    <t>Natural Logarithm Base</t>
  </si>
  <si>
    <t>Radian</t>
  </si>
  <si>
    <t>Interpolation</t>
  </si>
  <si>
    <t>Linear Interpolation</t>
  </si>
  <si>
    <t>x1</t>
  </si>
  <si>
    <t>x0</t>
  </si>
  <si>
    <t>[</t>
  </si>
  <si>
    <t>]</t>
  </si>
  <si>
    <t>*</t>
  </si>
  <si>
    <t>≤</t>
  </si>
  <si>
    <t>VBA</t>
  </si>
  <si>
    <t>Higher-Order Interpolation</t>
  </si>
  <si>
    <t>Lagrange Interpolation</t>
  </si>
  <si>
    <t xml:space="preserve"> Doc. No.</t>
  </si>
  <si>
    <t xml:space="preserve"> Date</t>
  </si>
  <si>
    <t>2019.    6.    10.</t>
  </si>
  <si>
    <t xml:space="preserve"> Revision</t>
  </si>
  <si>
    <t xml:space="preserve"> Sheet No.</t>
  </si>
  <si>
    <t>of</t>
  </si>
  <si>
    <t>Numerical Integration</t>
  </si>
  <si>
    <t>Trapezoidal Rule</t>
  </si>
  <si>
    <t>Matrix Algebra</t>
  </si>
  <si>
    <t>A</t>
  </si>
  <si>
    <t>a</t>
  </si>
  <si>
    <t>i</t>
  </si>
  <si>
    <t>j</t>
  </si>
  <si>
    <t>…</t>
  </si>
  <si>
    <t>Column Index</t>
  </si>
  <si>
    <t>Row Index</t>
  </si>
  <si>
    <t>Linear Equations in Matrix Form</t>
  </si>
  <si>
    <t>a11</t>
  </si>
  <si>
    <t>a21</t>
  </si>
  <si>
    <t>a31</t>
  </si>
  <si>
    <t>x1</t>
  </si>
  <si>
    <t>x2</t>
  </si>
  <si>
    <t>a12</t>
  </si>
  <si>
    <t>a22</t>
  </si>
  <si>
    <t>a32</t>
  </si>
  <si>
    <t>a1n</t>
  </si>
  <si>
    <t>a2n</t>
  </si>
  <si>
    <t>a3n</t>
  </si>
  <si>
    <t>xn</t>
  </si>
  <si>
    <t>b1</t>
  </si>
  <si>
    <t>b2</t>
  </si>
  <si>
    <t>b3</t>
  </si>
  <si>
    <t>xi</t>
  </si>
  <si>
    <t>Unknown Variable</t>
  </si>
  <si>
    <t>bi</t>
  </si>
  <si>
    <t>Constant</t>
  </si>
  <si>
    <t>aij</t>
  </si>
  <si>
    <t>No. of Equations</t>
  </si>
  <si>
    <t>Matrix</t>
  </si>
  <si>
    <t>A matrix is a rectangular array of elements arranged in an orderly fashion with rows and columns.</t>
  </si>
  <si>
    <t>↓</t>
  </si>
  <si>
    <t>aij</t>
  </si>
  <si>
    <t>Element</t>
  </si>
  <si>
    <t>No. of Rows</t>
  </si>
  <si>
    <t>No. of Columns</t>
  </si>
  <si>
    <t>x0</t>
  </si>
  <si>
    <t>……</t>
  </si>
  <si>
    <t>xn</t>
  </si>
  <si>
    <t>xn-1</t>
  </si>
  <si>
    <t>xn-2</t>
  </si>
  <si>
    <t>y(x)</t>
  </si>
  <si>
    <t>y0</t>
  </si>
  <si>
    <t>y1</t>
  </si>
  <si>
    <t>yn-1</t>
  </si>
  <si>
    <t>I</t>
  </si>
  <si>
    <t>~</t>
  </si>
  <si>
    <t>h</t>
  </si>
  <si>
    <t>y2</t>
  </si>
  <si>
    <t>yn-2</t>
  </si>
  <si>
    <t>Simpson's Rule</t>
  </si>
  <si>
    <t>X</t>
  </si>
  <si>
    <t>am1</t>
  </si>
  <si>
    <t>am2</t>
  </si>
  <si>
    <t>amn</t>
  </si>
  <si>
    <t>bm</t>
  </si>
  <si>
    <t>,</t>
  </si>
  <si>
    <t>x3</t>
  </si>
  <si>
    <t>B</t>
  </si>
  <si>
    <t>Matrix Multiplication</t>
  </si>
  <si>
    <t>Coefficient</t>
  </si>
  <si>
    <t>Linear equations are expressed as below.</t>
  </si>
  <si>
    <t>k</t>
  </si>
  <si>
    <t>Lagrange Coefficient Polynomial</t>
  </si>
  <si>
    <t>Π</t>
  </si>
  <si>
    <t>≠</t>
  </si>
  <si>
    <t>) … (</t>
  </si>
  <si>
    <t>)  (</t>
  </si>
  <si>
    <t>/</t>
  </si>
  <si>
    <t>&lt;-</t>
  </si>
  <si>
    <t>6.</t>
  </si>
  <si>
    <t>7.</t>
  </si>
  <si>
    <t>6.</t>
  </si>
  <si>
    <t>7.</t>
  </si>
  <si>
    <t>7.1</t>
  </si>
  <si>
    <t>7.2</t>
  </si>
  <si>
    <t>Example</t>
  </si>
  <si>
    <t>y</t>
  </si>
  <si>
    <t>3.</t>
  </si>
  <si>
    <t>4.</t>
  </si>
  <si>
    <t>Example</t>
  </si>
  <si>
    <t>No. of Points</t>
  </si>
  <si>
    <t>VBA</t>
  </si>
  <si>
    <t>ym</t>
  </si>
  <si>
    <t>=</t>
  </si>
  <si>
    <t>/  (</t>
  </si>
  <si>
    <t>-</t>
  </si>
  <si>
    <t>)</t>
  </si>
</sst>
</file>

<file path=xl/styles.xml><?xml version="1.0" encoding="utf-8"?>
<styleSheet xmlns="http://schemas.openxmlformats.org/spreadsheetml/2006/main">
  <numFmts count="6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_);\(&quot; &quot;#,##0\)"/>
    <numFmt numFmtId="177" formatCode="&quot; &quot;#,##0_);[Red]\(&quot; &quot;#,##0\)"/>
    <numFmt numFmtId="178" formatCode="&quot; &quot;#,##0.00_);\(&quot; &quot;#,##0.00\)"/>
    <numFmt numFmtId="179" formatCode="&quot; &quot;#,##0.00_);[Red]\(&quot; &quot;#,##0.00\)"/>
    <numFmt numFmtId="180" formatCode="_(&quot; &quot;* #,##0_);_(&quot; &quot;* \(#,##0\);_(&quot; &quot;* &quot;-&quot;_);_(@_)"/>
    <numFmt numFmtId="181" formatCode="_(* #,##0_);_(* \(#,##0\);_(* &quot;-&quot;_);_(@_)"/>
    <numFmt numFmtId="182" formatCode="_(&quot; &quot;* #,##0.00_);_(&quot; &quot;* \(#,##0.00\);_(&quot; &quot;* &quot;-&quot;??_);_(@_)"/>
    <numFmt numFmtId="183" formatCode="_(* #,##0.00_);_(* \(#,##0.00\);_(* &quot;-&quot;??_);_(@_)"/>
    <numFmt numFmtId="184" formatCode="0.000_ "/>
    <numFmt numFmtId="185" formatCode="0.00_ 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 &quot;\&quot;* #,##0_ ;_ &quot;\&quot;* \-#,##0_ ;_ &quot;\&quot;* &quot;-&quot;_ ;_ @_ "/>
    <numFmt numFmtId="192" formatCode="_ * #,##0_ ;_ * \-#,##0_ ;_ * &quot;-&quot;_ ;_ @_ "/>
    <numFmt numFmtId="193" formatCode="_ &quot;\&quot;* #,##0.00_ ;_ &quot;\&quot;* \-#,##0.00_ ;_ &quot;\&quot;* &quot;-&quot;??_ ;_ @_ "/>
    <numFmt numFmtId="194" formatCode="_ * #,##0.00_ ;_ * \-#,##0.00_ ;_ * &quot;-&quot;??_ ;_ @_ "/>
    <numFmt numFmtId="195" formatCode="&quot;\&quot;#,##0;&quot;\&quot;&quot;\&quot;&quot;\&quot;&quot;\&quot;&quot;\&quot;&quot;\&quot;&quot;\&quot;&quot;\&quot;\-#,##0"/>
    <numFmt numFmtId="196" formatCode="&quot;\&quot;#,##0.00;&quot;\&quot;&quot;\&quot;&quot;\&quot;&quot;\&quot;&quot;\&quot;&quot;\&quot;&quot;\&quot;&quot;\&quot;\-#,##0.00"/>
    <numFmt numFmtId="197" formatCode="[$-412]AM/PM\ h:mm:ss"/>
    <numFmt numFmtId="198" formatCode="mm&quot;월&quot;\ dd&quot;일&quot;"/>
    <numFmt numFmtId="199" formatCode="0_ "/>
    <numFmt numFmtId="200" formatCode="0.0"/>
    <numFmt numFmtId="201" formatCode="0.0000000"/>
    <numFmt numFmtId="202" formatCode="0.000000"/>
    <numFmt numFmtId="203" formatCode="0.00000"/>
    <numFmt numFmtId="204" formatCode="0.00000000"/>
    <numFmt numFmtId="205" formatCode="0.0000"/>
    <numFmt numFmtId="206" formatCode="0.000"/>
    <numFmt numFmtId="207" formatCode="#,##0_ "/>
    <numFmt numFmtId="208" formatCode="0.000E+00"/>
    <numFmt numFmtId="209" formatCode="#,##0.0_ "/>
    <numFmt numFmtId="210" formatCode="0.0000_ "/>
    <numFmt numFmtId="211" formatCode="0.0_);[Red]\(0.0\)"/>
    <numFmt numFmtId="212" formatCode="#,##0_);[Red]\(#,##0\)"/>
    <numFmt numFmtId="213" formatCode="0.00000_ "/>
    <numFmt numFmtId="214" formatCode="0.00_);[Red]\(0.00\)"/>
    <numFmt numFmtId="215" formatCode="0.0E+00"/>
    <numFmt numFmtId="216" formatCode="0.000000_ "/>
    <numFmt numFmtId="217" formatCode="#,##0.0_);[Red]\(#,##0.0\)"/>
    <numFmt numFmtId="218" formatCode="#,##0.00_);[Red]\(#,##0.00\)"/>
    <numFmt numFmtId="219" formatCode="#,##0.000_);[Red]\(#,##0.000\)"/>
    <numFmt numFmtId="220" formatCode="#,##0.0000_);[Red]\(#,##0.0000\)"/>
    <numFmt numFmtId="221" formatCode="#,##0.00000_);[Red]\(#,##0.00000\)"/>
    <numFmt numFmtId="222" formatCode="#,##0.00_ "/>
    <numFmt numFmtId="223" formatCode="0.E+00"/>
    <numFmt numFmtId="224" formatCode="0.00000000_ "/>
    <numFmt numFmtId="225" formatCode="0.0000000_ "/>
  </numFmts>
  <fonts count="32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u val="single"/>
      <sz val="8"/>
      <name val="Arial"/>
      <family val="2"/>
    </font>
    <font>
      <b/>
      <sz val="16"/>
      <name val="궁서체"/>
      <family val="1"/>
    </font>
    <font>
      <b/>
      <sz val="14"/>
      <name val="Arial"/>
      <family val="2"/>
    </font>
    <font>
      <b/>
      <u val="single"/>
      <sz val="8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color indexed="10"/>
      <name val="Arial"/>
      <family val="2"/>
    </font>
    <font>
      <u val="single"/>
      <sz val="8"/>
      <color indexed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7"/>
      <color indexed="12"/>
      <name val="Arial"/>
      <family val="2"/>
    </font>
    <font>
      <sz val="7"/>
      <name val="Arial"/>
      <family val="2"/>
    </font>
    <font>
      <b/>
      <sz val="8"/>
      <color indexed="12"/>
      <name val="돋움"/>
      <family val="3"/>
    </font>
    <font>
      <b/>
      <sz val="12"/>
      <name val="Arial"/>
      <family val="2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24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7" fillId="0" borderId="9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7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8" fillId="0" borderId="0" xfId="0" applyNumberFormat="1" applyFont="1" applyAlignment="1">
      <alignment/>
    </xf>
    <xf numFmtId="0" fontId="3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3" fillId="3" borderId="38" xfId="0" applyNumberFormat="1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horizontal="center"/>
    </xf>
    <xf numFmtId="49" fontId="3" fillId="3" borderId="39" xfId="0" applyNumberFormat="1" applyFont="1" applyFill="1" applyBorder="1" applyAlignment="1">
      <alignment horizontal="center"/>
    </xf>
    <xf numFmtId="0" fontId="17" fillId="0" borderId="40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216" fontId="20" fillId="0" borderId="0" xfId="0" applyNumberFormat="1" applyFont="1" applyAlignment="1">
      <alignment horizontal="right"/>
    </xf>
    <xf numFmtId="216" fontId="20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185" fontId="20" fillId="0" borderId="0" xfId="0" applyNumberFormat="1" applyFont="1" applyAlignment="1">
      <alignment horizontal="right" vertical="center"/>
    </xf>
    <xf numFmtId="207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24" fontId="20" fillId="0" borderId="0" xfId="0" applyNumberFormat="1" applyFont="1" applyBorder="1" applyAlignment="1">
      <alignment vertical="center"/>
    </xf>
    <xf numFmtId="213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213" fontId="20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20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10" fontId="3" fillId="0" borderId="27" xfId="0" applyNumberFormat="1" applyFont="1" applyBorder="1" applyAlignment="1">
      <alignment horizontal="center"/>
    </xf>
    <xf numFmtId="210" fontId="20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10" fontId="2" fillId="0" borderId="9" xfId="0" applyNumberFormat="1" applyFont="1" applyBorder="1" applyAlignment="1">
      <alignment horizontal="center"/>
    </xf>
    <xf numFmtId="210" fontId="3" fillId="0" borderId="9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</cellXfs>
  <cellStyles count="11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085-LTR" xfId="20"/>
    <cellStyle name="콤마_1085-LTR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J0(x)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'5.1'!$AE$41:$AO$41</c:f>
              <c:numCache/>
            </c:numRef>
          </c:cat>
          <c:val>
            <c:numRef>
              <c:f>'5.1'!$AE$42:$AO$42</c:f>
              <c:numCache/>
            </c:numRef>
          </c:val>
          <c:smooth val="1"/>
        </c:ser>
        <c:ser>
          <c:idx val="1"/>
          <c:order val="1"/>
          <c:tx>
            <c:v>J1(x)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'5.1'!$AE$41:$AO$41</c:f>
              <c:numCache/>
            </c:numRef>
          </c:cat>
          <c:val>
            <c:numRef>
              <c:f>'5.1'!$AE$43:$AO$43</c:f>
              <c:numCache/>
            </c:numRef>
          </c:val>
          <c:smooth val="1"/>
        </c:ser>
        <c:axId val="20560041"/>
        <c:axId val="50822642"/>
      </c:lineChart>
      <c:cat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0822642"/>
        <c:crosses val="autoZero"/>
        <c:auto val="0"/>
        <c:lblOffset val="100"/>
        <c:noMultiLvlLbl val="0"/>
      </c:catAx>
      <c:valAx>
        <c:axId val="508226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56004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Y0(x)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'5.2'!$AE$41:$AY$41</c:f>
              <c:numCache/>
            </c:numRef>
          </c:cat>
          <c:val>
            <c:numRef>
              <c:f>'5.2'!$AE$42:$AY$42</c:f>
              <c:numCache/>
            </c:numRef>
          </c:val>
          <c:smooth val="1"/>
        </c:ser>
        <c:axId val="54750595"/>
        <c:axId val="22993308"/>
      </c:lineChart>
      <c:cat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993308"/>
        <c:crosses val="autoZero"/>
        <c:auto val="0"/>
        <c:lblOffset val="100"/>
        <c:noMultiLvlLbl val="0"/>
      </c:catAx>
      <c:valAx>
        <c:axId val="229933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505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I0(x)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'5.3'!$AE$42:$AM$42</c:f>
              <c:numCache/>
            </c:numRef>
          </c:cat>
          <c:val>
            <c:numRef>
              <c:f>'5.3'!$AE$43:$AM$43</c:f>
              <c:numCache/>
            </c:numRef>
          </c:val>
          <c:smooth val="1"/>
        </c:ser>
        <c:ser>
          <c:idx val="1"/>
          <c:order val="1"/>
          <c:tx>
            <c:v>I1(x)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'5.3'!$AE$42:$AM$42</c:f>
              <c:numCache/>
            </c:numRef>
          </c:cat>
          <c:val>
            <c:numRef>
              <c:f>'5.3'!$AE$44:$AM$44</c:f>
              <c:numCache/>
            </c:numRef>
          </c:val>
          <c:smooth val="1"/>
        </c:ser>
        <c:axId val="5613181"/>
        <c:axId val="50518630"/>
      </c:lineChart>
      <c:catAx>
        <c:axId val="56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0518630"/>
        <c:crosses val="autoZero"/>
        <c:auto val="0"/>
        <c:lblOffset val="100"/>
        <c:noMultiLvlLbl val="0"/>
      </c:catAx>
      <c:valAx>
        <c:axId val="50518630"/>
        <c:scaling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61318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K1(x)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'5.4'!$AF$53:$AM$53</c:f>
              <c:numCache/>
            </c:numRef>
          </c:cat>
          <c:val>
            <c:numRef>
              <c:f>'5.4'!$AF$54:$AM$54</c:f>
              <c:numCache/>
            </c:numRef>
          </c:val>
          <c:smooth val="1"/>
        </c:ser>
        <c:ser>
          <c:idx val="1"/>
          <c:order val="1"/>
          <c:tx>
            <c:v>K0(x)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'5.4'!$AF$53:$AM$53</c:f>
              <c:numCache/>
            </c:numRef>
          </c:cat>
          <c:val>
            <c:numRef>
              <c:f>'5.4'!$AF$55:$AM$55</c:f>
              <c:numCache/>
            </c:numRef>
          </c:val>
          <c:smooth val="1"/>
        </c:ser>
        <c:axId val="52014487"/>
        <c:axId val="65477200"/>
      </c:lineChart>
      <c:catAx>
        <c:axId val="52014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5477200"/>
        <c:crosses val="autoZero"/>
        <c:auto val="0"/>
        <c:lblOffset val="100"/>
        <c:noMultiLvlLbl val="0"/>
      </c:catAx>
      <c:valAx>
        <c:axId val="654772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1448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cos(x)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7!$K$67:$Q$67</c:f>
              <c:numCache/>
            </c:numRef>
          </c:cat>
          <c:val>
            <c:numRef>
              <c:f>7!$K$65:$Q$65</c:f>
              <c:numCache/>
            </c:numRef>
          </c:val>
          <c:smooth val="1"/>
        </c:ser>
        <c:ser>
          <c:idx val="1"/>
          <c:order val="1"/>
          <c:tx>
            <c:v>Pn(x)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7!$K$67:$Q$67</c:f>
              <c:numCache/>
            </c:numRef>
          </c:cat>
          <c:val>
            <c:numRef>
              <c:f>7!$K$66:$Q$66</c:f>
              <c:numCache/>
            </c:numRef>
          </c:val>
          <c:smooth val="1"/>
        </c:ser>
        <c:axId val="52423889"/>
        <c:axId val="2052954"/>
      </c:lineChart>
      <c:catAx>
        <c:axId val="52423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052954"/>
        <c:crosses val="autoZero"/>
        <c:auto val="0"/>
        <c:lblOffset val="100"/>
        <c:noMultiLvlLbl val="0"/>
      </c:catAx>
      <c:valAx>
        <c:axId val="20529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42388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57150</xdr:colOff>
      <xdr:row>31</xdr:row>
      <xdr:rowOff>0</xdr:rowOff>
    </xdr:to>
    <xdr:grpSp>
      <xdr:nvGrpSpPr>
        <xdr:cNvPr id="3" name="Group 12"/>
        <xdr:cNvGrpSpPr>
          <a:grpSpLocks/>
        </xdr:cNvGrpSpPr>
      </xdr:nvGrpSpPr>
      <xdr:grpSpPr>
        <a:xfrm>
          <a:off x="2828925" y="3714750"/>
          <a:ext cx="57150" cy="714375"/>
          <a:chOff x="162" y="165"/>
          <a:chExt cx="6" cy="75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162" y="16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62" y="24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62" y="165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21</xdr:col>
      <xdr:colOff>200025</xdr:colOff>
      <xdr:row>26</xdr:row>
      <xdr:rowOff>0</xdr:rowOff>
    </xdr:from>
    <xdr:to>
      <xdr:col>22</xdr:col>
      <xdr:colOff>0</xdr:colOff>
      <xdr:row>31</xdr:row>
      <xdr:rowOff>0</xdr:rowOff>
    </xdr:to>
    <xdr:grpSp>
      <xdr:nvGrpSpPr>
        <xdr:cNvPr id="7" name="Group 13"/>
        <xdr:cNvGrpSpPr>
          <a:grpSpLocks/>
        </xdr:cNvGrpSpPr>
      </xdr:nvGrpSpPr>
      <xdr:grpSpPr>
        <a:xfrm flipH="1">
          <a:off x="5600700" y="3714750"/>
          <a:ext cx="57150" cy="714375"/>
          <a:chOff x="162" y="165"/>
          <a:chExt cx="6" cy="75"/>
        </a:xfrm>
        <a:solidFill>
          <a:srgbClr val="FFFFFF"/>
        </a:solidFill>
      </xdr:grpSpPr>
      <xdr:sp>
        <xdr:nvSpPr>
          <xdr:cNvPr id="8" name="Line 14"/>
          <xdr:cNvSpPr>
            <a:spLocks/>
          </xdr:cNvSpPr>
        </xdr:nvSpPr>
        <xdr:spPr>
          <a:xfrm>
            <a:off x="162" y="16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>
            <a:off x="162" y="24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>
            <a:off x="162" y="165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57150</xdr:colOff>
      <xdr:row>49</xdr:row>
      <xdr:rowOff>0</xdr:rowOff>
    </xdr:to>
    <xdr:grpSp>
      <xdr:nvGrpSpPr>
        <xdr:cNvPr id="11" name="Group 17"/>
        <xdr:cNvGrpSpPr>
          <a:grpSpLocks/>
        </xdr:cNvGrpSpPr>
      </xdr:nvGrpSpPr>
      <xdr:grpSpPr>
        <a:xfrm>
          <a:off x="1543050" y="6286500"/>
          <a:ext cx="57150" cy="714375"/>
          <a:chOff x="162" y="165"/>
          <a:chExt cx="6" cy="75"/>
        </a:xfrm>
        <a:solidFill>
          <a:srgbClr val="FFFFFF"/>
        </a:solidFill>
      </xdr:grpSpPr>
      <xdr:sp>
        <xdr:nvSpPr>
          <xdr:cNvPr id="12" name="Line 18"/>
          <xdr:cNvSpPr>
            <a:spLocks/>
          </xdr:cNvSpPr>
        </xdr:nvSpPr>
        <xdr:spPr>
          <a:xfrm>
            <a:off x="162" y="16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Line 19"/>
          <xdr:cNvSpPr>
            <a:spLocks/>
          </xdr:cNvSpPr>
        </xdr:nvSpPr>
        <xdr:spPr>
          <a:xfrm>
            <a:off x="162" y="24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" name="Line 20"/>
          <xdr:cNvSpPr>
            <a:spLocks/>
          </xdr:cNvSpPr>
        </xdr:nvSpPr>
        <xdr:spPr>
          <a:xfrm>
            <a:off x="162" y="165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57150</xdr:colOff>
      <xdr:row>49</xdr:row>
      <xdr:rowOff>0</xdr:rowOff>
    </xdr:to>
    <xdr:grpSp>
      <xdr:nvGrpSpPr>
        <xdr:cNvPr id="15" name="Group 29"/>
        <xdr:cNvGrpSpPr>
          <a:grpSpLocks/>
        </xdr:cNvGrpSpPr>
      </xdr:nvGrpSpPr>
      <xdr:grpSpPr>
        <a:xfrm>
          <a:off x="3086100" y="6286500"/>
          <a:ext cx="57150" cy="714375"/>
          <a:chOff x="162" y="165"/>
          <a:chExt cx="6" cy="75"/>
        </a:xfrm>
        <a:solidFill>
          <a:srgbClr val="FFFFFF"/>
        </a:solidFill>
      </xdr:grpSpPr>
      <xdr:sp>
        <xdr:nvSpPr>
          <xdr:cNvPr id="16" name="Line 30"/>
          <xdr:cNvSpPr>
            <a:spLocks/>
          </xdr:cNvSpPr>
        </xdr:nvSpPr>
        <xdr:spPr>
          <a:xfrm>
            <a:off x="162" y="16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Line 31"/>
          <xdr:cNvSpPr>
            <a:spLocks/>
          </xdr:cNvSpPr>
        </xdr:nvSpPr>
        <xdr:spPr>
          <a:xfrm>
            <a:off x="162" y="24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Line 32"/>
          <xdr:cNvSpPr>
            <a:spLocks/>
          </xdr:cNvSpPr>
        </xdr:nvSpPr>
        <xdr:spPr>
          <a:xfrm>
            <a:off x="162" y="165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12</xdr:col>
      <xdr:colOff>200025</xdr:colOff>
      <xdr:row>44</xdr:row>
      <xdr:rowOff>0</xdr:rowOff>
    </xdr:from>
    <xdr:to>
      <xdr:col>13</xdr:col>
      <xdr:colOff>0</xdr:colOff>
      <xdr:row>49</xdr:row>
      <xdr:rowOff>0</xdr:rowOff>
    </xdr:to>
    <xdr:grpSp>
      <xdr:nvGrpSpPr>
        <xdr:cNvPr id="19" name="Group 37"/>
        <xdr:cNvGrpSpPr>
          <a:grpSpLocks/>
        </xdr:cNvGrpSpPr>
      </xdr:nvGrpSpPr>
      <xdr:grpSpPr>
        <a:xfrm flipH="1">
          <a:off x="3286125" y="6286500"/>
          <a:ext cx="57150" cy="714375"/>
          <a:chOff x="162" y="165"/>
          <a:chExt cx="6" cy="75"/>
        </a:xfrm>
        <a:solidFill>
          <a:srgbClr val="FFFFFF"/>
        </a:solidFill>
      </xdr:grpSpPr>
      <xdr:sp>
        <xdr:nvSpPr>
          <xdr:cNvPr id="20" name="Line 38"/>
          <xdr:cNvSpPr>
            <a:spLocks/>
          </xdr:cNvSpPr>
        </xdr:nvSpPr>
        <xdr:spPr>
          <a:xfrm>
            <a:off x="162" y="16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Line 39"/>
          <xdr:cNvSpPr>
            <a:spLocks/>
          </xdr:cNvSpPr>
        </xdr:nvSpPr>
        <xdr:spPr>
          <a:xfrm>
            <a:off x="162" y="24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Line 40"/>
          <xdr:cNvSpPr>
            <a:spLocks/>
          </xdr:cNvSpPr>
        </xdr:nvSpPr>
        <xdr:spPr>
          <a:xfrm>
            <a:off x="162" y="165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10</xdr:col>
      <xdr:colOff>200025</xdr:colOff>
      <xdr:row>44</xdr:row>
      <xdr:rowOff>0</xdr:rowOff>
    </xdr:from>
    <xdr:to>
      <xdr:col>11</xdr:col>
      <xdr:colOff>0</xdr:colOff>
      <xdr:row>49</xdr:row>
      <xdr:rowOff>0</xdr:rowOff>
    </xdr:to>
    <xdr:grpSp>
      <xdr:nvGrpSpPr>
        <xdr:cNvPr id="23" name="Group 41"/>
        <xdr:cNvGrpSpPr>
          <a:grpSpLocks/>
        </xdr:cNvGrpSpPr>
      </xdr:nvGrpSpPr>
      <xdr:grpSpPr>
        <a:xfrm flipH="1">
          <a:off x="2771775" y="6286500"/>
          <a:ext cx="57150" cy="714375"/>
          <a:chOff x="162" y="165"/>
          <a:chExt cx="6" cy="75"/>
        </a:xfrm>
        <a:solidFill>
          <a:srgbClr val="FFFFFF"/>
        </a:solidFill>
      </xdr:grpSpPr>
      <xdr:sp>
        <xdr:nvSpPr>
          <xdr:cNvPr id="24" name="Line 42"/>
          <xdr:cNvSpPr>
            <a:spLocks/>
          </xdr:cNvSpPr>
        </xdr:nvSpPr>
        <xdr:spPr>
          <a:xfrm>
            <a:off x="162" y="16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Line 43"/>
          <xdr:cNvSpPr>
            <a:spLocks/>
          </xdr:cNvSpPr>
        </xdr:nvSpPr>
        <xdr:spPr>
          <a:xfrm>
            <a:off x="162" y="24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Line 44"/>
          <xdr:cNvSpPr>
            <a:spLocks/>
          </xdr:cNvSpPr>
        </xdr:nvSpPr>
        <xdr:spPr>
          <a:xfrm>
            <a:off x="162" y="165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44</xdr:row>
      <xdr:rowOff>0</xdr:rowOff>
    </xdr:from>
    <xdr:to>
      <xdr:col>14</xdr:col>
      <xdr:colOff>57150</xdr:colOff>
      <xdr:row>49</xdr:row>
      <xdr:rowOff>0</xdr:rowOff>
    </xdr:to>
    <xdr:grpSp>
      <xdr:nvGrpSpPr>
        <xdr:cNvPr id="27" name="Group 45"/>
        <xdr:cNvGrpSpPr>
          <a:grpSpLocks/>
        </xdr:cNvGrpSpPr>
      </xdr:nvGrpSpPr>
      <xdr:grpSpPr>
        <a:xfrm>
          <a:off x="3600450" y="6286500"/>
          <a:ext cx="57150" cy="714375"/>
          <a:chOff x="162" y="165"/>
          <a:chExt cx="6" cy="75"/>
        </a:xfrm>
        <a:solidFill>
          <a:srgbClr val="FFFFFF"/>
        </a:solidFill>
      </xdr:grpSpPr>
      <xdr:sp>
        <xdr:nvSpPr>
          <xdr:cNvPr id="28" name="Line 46"/>
          <xdr:cNvSpPr>
            <a:spLocks/>
          </xdr:cNvSpPr>
        </xdr:nvSpPr>
        <xdr:spPr>
          <a:xfrm>
            <a:off x="162" y="16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Line 47"/>
          <xdr:cNvSpPr>
            <a:spLocks/>
          </xdr:cNvSpPr>
        </xdr:nvSpPr>
        <xdr:spPr>
          <a:xfrm>
            <a:off x="162" y="24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48"/>
          <xdr:cNvSpPr>
            <a:spLocks/>
          </xdr:cNvSpPr>
        </xdr:nvSpPr>
        <xdr:spPr>
          <a:xfrm>
            <a:off x="162" y="165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14</xdr:col>
      <xdr:colOff>200025</xdr:colOff>
      <xdr:row>44</xdr:row>
      <xdr:rowOff>0</xdr:rowOff>
    </xdr:from>
    <xdr:to>
      <xdr:col>15</xdr:col>
      <xdr:colOff>0</xdr:colOff>
      <xdr:row>49</xdr:row>
      <xdr:rowOff>0</xdr:rowOff>
    </xdr:to>
    <xdr:grpSp>
      <xdr:nvGrpSpPr>
        <xdr:cNvPr id="31" name="Group 49"/>
        <xdr:cNvGrpSpPr>
          <a:grpSpLocks/>
        </xdr:cNvGrpSpPr>
      </xdr:nvGrpSpPr>
      <xdr:grpSpPr>
        <a:xfrm flipH="1">
          <a:off x="3800475" y="6286500"/>
          <a:ext cx="57150" cy="714375"/>
          <a:chOff x="162" y="165"/>
          <a:chExt cx="6" cy="75"/>
        </a:xfrm>
        <a:solidFill>
          <a:srgbClr val="FFFFFF"/>
        </a:solidFill>
      </xdr:grpSpPr>
      <xdr:sp>
        <xdr:nvSpPr>
          <xdr:cNvPr id="32" name="Line 50"/>
          <xdr:cNvSpPr>
            <a:spLocks/>
          </xdr:cNvSpPr>
        </xdr:nvSpPr>
        <xdr:spPr>
          <a:xfrm>
            <a:off x="162" y="16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51"/>
          <xdr:cNvSpPr>
            <a:spLocks/>
          </xdr:cNvSpPr>
        </xdr:nvSpPr>
        <xdr:spPr>
          <a:xfrm>
            <a:off x="162" y="24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Line 52"/>
          <xdr:cNvSpPr>
            <a:spLocks/>
          </xdr:cNvSpPr>
        </xdr:nvSpPr>
        <xdr:spPr>
          <a:xfrm>
            <a:off x="162" y="165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23</xdr:col>
      <xdr:colOff>0</xdr:colOff>
      <xdr:row>57</xdr:row>
      <xdr:rowOff>0</xdr:rowOff>
    </xdr:to>
    <xdr:graphicFrame>
      <xdr:nvGraphicFramePr>
        <xdr:cNvPr id="3" name="Chart 4"/>
        <xdr:cNvGraphicFramePr/>
      </xdr:nvGraphicFramePr>
      <xdr:xfrm>
        <a:off x="1800225" y="5857875"/>
        <a:ext cx="41148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3" name="Line 4"/>
        <xdr:cNvSpPr>
          <a:spLocks/>
        </xdr:cNvSpPr>
      </xdr:nvSpPr>
      <xdr:spPr>
        <a:xfrm>
          <a:off x="1028700" y="300037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21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1028700" y="2143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0</xdr:rowOff>
    </xdr:from>
    <xdr:to>
      <xdr:col>12</xdr:col>
      <xdr:colOff>133350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162050" y="2286000"/>
          <a:ext cx="2057400" cy="142875"/>
        </a:xfrm>
        <a:custGeom>
          <a:pathLst>
            <a:path h="16" w="162">
              <a:moveTo>
                <a:pt x="0" y="16"/>
              </a:moveTo>
              <a:cubicBezTo>
                <a:pt x="17" y="8"/>
                <a:pt x="35" y="0"/>
                <a:pt x="53" y="0"/>
              </a:cubicBezTo>
              <a:cubicBezTo>
                <a:pt x="71" y="0"/>
                <a:pt x="89" y="16"/>
                <a:pt x="107" y="16"/>
              </a:cubicBezTo>
              <a:cubicBezTo>
                <a:pt x="125" y="16"/>
                <a:pt x="143" y="8"/>
                <a:pt x="162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123825</xdr:colOff>
      <xdr:row>16</xdr:row>
      <xdr:rowOff>76200</xdr:rowOff>
    </xdr:from>
    <xdr:to>
      <xdr:col>5</xdr:col>
      <xdr:colOff>123825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1409700" y="23622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123825</xdr:colOff>
      <xdr:row>16</xdr:row>
      <xdr:rowOff>19050</xdr:rowOff>
    </xdr:from>
    <xdr:to>
      <xdr:col>6</xdr:col>
      <xdr:colOff>123825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666875" y="23050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123825</xdr:colOff>
      <xdr:row>16</xdr:row>
      <xdr:rowOff>123825</xdr:rowOff>
    </xdr:from>
    <xdr:to>
      <xdr:col>10</xdr:col>
      <xdr:colOff>123825</xdr:colOff>
      <xdr:row>21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2695575" y="24098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123825</xdr:colOff>
      <xdr:row>16</xdr:row>
      <xdr:rowOff>76200</xdr:rowOff>
    </xdr:from>
    <xdr:to>
      <xdr:col>11</xdr:col>
      <xdr:colOff>123825</xdr:colOff>
      <xdr:row>21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2952750" y="23622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123825</xdr:colOff>
      <xdr:row>22</xdr:row>
      <xdr:rowOff>38100</xdr:rowOff>
    </xdr:from>
    <xdr:to>
      <xdr:col>5</xdr:col>
      <xdr:colOff>123825</xdr:colOff>
      <xdr:row>23</xdr:row>
      <xdr:rowOff>47625</xdr:rowOff>
    </xdr:to>
    <xdr:sp>
      <xdr:nvSpPr>
        <xdr:cNvPr id="10" name="Line 12"/>
        <xdr:cNvSpPr>
          <a:spLocks/>
        </xdr:cNvSpPr>
      </xdr:nvSpPr>
      <xdr:spPr>
        <a:xfrm>
          <a:off x="1409700" y="3181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123825</xdr:colOff>
      <xdr:row>22</xdr:row>
      <xdr:rowOff>28575</xdr:rowOff>
    </xdr:from>
    <xdr:to>
      <xdr:col>6</xdr:col>
      <xdr:colOff>123825</xdr:colOff>
      <xdr:row>23</xdr:row>
      <xdr:rowOff>47625</xdr:rowOff>
    </xdr:to>
    <xdr:sp>
      <xdr:nvSpPr>
        <xdr:cNvPr id="11" name="Line 13"/>
        <xdr:cNvSpPr>
          <a:spLocks/>
        </xdr:cNvSpPr>
      </xdr:nvSpPr>
      <xdr:spPr>
        <a:xfrm>
          <a:off x="1666875" y="3171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123825</xdr:colOff>
      <xdr:row>22</xdr:row>
      <xdr:rowOff>38100</xdr:rowOff>
    </xdr:from>
    <xdr:to>
      <xdr:col>10</xdr:col>
      <xdr:colOff>123825</xdr:colOff>
      <xdr:row>23</xdr:row>
      <xdr:rowOff>38100</xdr:rowOff>
    </xdr:to>
    <xdr:sp>
      <xdr:nvSpPr>
        <xdr:cNvPr id="12" name="Line 14"/>
        <xdr:cNvSpPr>
          <a:spLocks/>
        </xdr:cNvSpPr>
      </xdr:nvSpPr>
      <xdr:spPr>
        <a:xfrm>
          <a:off x="2695575" y="3181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28575</xdr:rowOff>
    </xdr:from>
    <xdr:to>
      <xdr:col>11</xdr:col>
      <xdr:colOff>123825</xdr:colOff>
      <xdr:row>23</xdr:row>
      <xdr:rowOff>47625</xdr:rowOff>
    </xdr:to>
    <xdr:sp>
      <xdr:nvSpPr>
        <xdr:cNvPr id="13" name="Line 15"/>
        <xdr:cNvSpPr>
          <a:spLocks/>
        </xdr:cNvSpPr>
      </xdr:nvSpPr>
      <xdr:spPr>
        <a:xfrm>
          <a:off x="2952750" y="3171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123825</xdr:colOff>
      <xdr:row>23</xdr:row>
      <xdr:rowOff>0</xdr:rowOff>
    </xdr:from>
    <xdr:to>
      <xdr:col>6</xdr:col>
      <xdr:colOff>123825</xdr:colOff>
      <xdr:row>23</xdr:row>
      <xdr:rowOff>0</xdr:rowOff>
    </xdr:to>
    <xdr:sp>
      <xdr:nvSpPr>
        <xdr:cNvPr id="14" name="Line 16"/>
        <xdr:cNvSpPr>
          <a:spLocks/>
        </xdr:cNvSpPr>
      </xdr:nvSpPr>
      <xdr:spPr>
        <a:xfrm>
          <a:off x="1409700" y="3286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123825</xdr:colOff>
      <xdr:row>23</xdr:row>
      <xdr:rowOff>0</xdr:rowOff>
    </xdr:from>
    <xdr:to>
      <xdr:col>11</xdr:col>
      <xdr:colOff>123825</xdr:colOff>
      <xdr:row>23</xdr:row>
      <xdr:rowOff>0</xdr:rowOff>
    </xdr:to>
    <xdr:sp>
      <xdr:nvSpPr>
        <xdr:cNvPr id="15" name="Line 17"/>
        <xdr:cNvSpPr>
          <a:spLocks/>
        </xdr:cNvSpPr>
      </xdr:nvSpPr>
      <xdr:spPr>
        <a:xfrm>
          <a:off x="2695575" y="3286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123825</xdr:colOff>
      <xdr:row>16</xdr:row>
      <xdr:rowOff>9525</xdr:rowOff>
    </xdr:from>
    <xdr:to>
      <xdr:col>7</xdr:col>
      <xdr:colOff>123825</xdr:colOff>
      <xdr:row>21</xdr:row>
      <xdr:rowOff>0</xdr:rowOff>
    </xdr:to>
    <xdr:sp>
      <xdr:nvSpPr>
        <xdr:cNvPr id="16" name="Line 18"/>
        <xdr:cNvSpPr>
          <a:spLocks/>
        </xdr:cNvSpPr>
      </xdr:nvSpPr>
      <xdr:spPr>
        <a:xfrm>
          <a:off x="1924050" y="22955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123825</xdr:colOff>
      <xdr:row>17</xdr:row>
      <xdr:rowOff>0</xdr:rowOff>
    </xdr:from>
    <xdr:to>
      <xdr:col>9</xdr:col>
      <xdr:colOff>123825</xdr:colOff>
      <xdr:row>21</xdr:row>
      <xdr:rowOff>0</xdr:rowOff>
    </xdr:to>
    <xdr:sp>
      <xdr:nvSpPr>
        <xdr:cNvPr id="17" name="Line 19"/>
        <xdr:cNvSpPr>
          <a:spLocks/>
        </xdr:cNvSpPr>
      </xdr:nvSpPr>
      <xdr:spPr>
        <a:xfrm>
          <a:off x="2438400" y="24288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>
      <xdr:nvSpPr>
        <xdr:cNvPr id="18" name="Line 20"/>
        <xdr:cNvSpPr>
          <a:spLocks/>
        </xdr:cNvSpPr>
      </xdr:nvSpPr>
      <xdr:spPr>
        <a:xfrm>
          <a:off x="1028700" y="70008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49</xdr:row>
      <xdr:rowOff>0</xdr:rowOff>
    </xdr:to>
    <xdr:sp>
      <xdr:nvSpPr>
        <xdr:cNvPr id="19" name="Line 21"/>
        <xdr:cNvSpPr>
          <a:spLocks/>
        </xdr:cNvSpPr>
      </xdr:nvSpPr>
      <xdr:spPr>
        <a:xfrm flipV="1">
          <a:off x="1028700" y="61436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133350</xdr:colOff>
      <xdr:row>44</xdr:row>
      <xdr:rowOff>0</xdr:rowOff>
    </xdr:from>
    <xdr:to>
      <xdr:col>10</xdr:col>
      <xdr:colOff>133350</xdr:colOff>
      <xdr:row>45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1162050" y="6286500"/>
          <a:ext cx="1543050" cy="142875"/>
        </a:xfrm>
        <a:custGeom>
          <a:pathLst>
            <a:path h="16" w="162">
              <a:moveTo>
                <a:pt x="0" y="16"/>
              </a:moveTo>
              <a:cubicBezTo>
                <a:pt x="17" y="8"/>
                <a:pt x="35" y="0"/>
                <a:pt x="53" y="0"/>
              </a:cubicBezTo>
              <a:cubicBezTo>
                <a:pt x="71" y="0"/>
                <a:pt x="89" y="16"/>
                <a:pt x="107" y="16"/>
              </a:cubicBezTo>
              <a:cubicBezTo>
                <a:pt x="125" y="16"/>
                <a:pt x="143" y="8"/>
                <a:pt x="162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123825</xdr:colOff>
      <xdr:row>44</xdr:row>
      <xdr:rowOff>47625</xdr:rowOff>
    </xdr:from>
    <xdr:to>
      <xdr:col>5</xdr:col>
      <xdr:colOff>123825</xdr:colOff>
      <xdr:row>49</xdr:row>
      <xdr:rowOff>0</xdr:rowOff>
    </xdr:to>
    <xdr:sp>
      <xdr:nvSpPr>
        <xdr:cNvPr id="21" name="Line 23"/>
        <xdr:cNvSpPr>
          <a:spLocks/>
        </xdr:cNvSpPr>
      </xdr:nvSpPr>
      <xdr:spPr>
        <a:xfrm flipV="1">
          <a:off x="1409700" y="63341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123825</xdr:colOff>
      <xdr:row>44</xdr:row>
      <xdr:rowOff>0</xdr:rowOff>
    </xdr:from>
    <xdr:to>
      <xdr:col>6</xdr:col>
      <xdr:colOff>123825</xdr:colOff>
      <xdr:row>49</xdr:row>
      <xdr:rowOff>0</xdr:rowOff>
    </xdr:to>
    <xdr:sp>
      <xdr:nvSpPr>
        <xdr:cNvPr id="22" name="Line 24"/>
        <xdr:cNvSpPr>
          <a:spLocks/>
        </xdr:cNvSpPr>
      </xdr:nvSpPr>
      <xdr:spPr>
        <a:xfrm flipV="1">
          <a:off x="1666875" y="62865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123825</xdr:colOff>
      <xdr:row>44</xdr:row>
      <xdr:rowOff>95250</xdr:rowOff>
    </xdr:from>
    <xdr:to>
      <xdr:col>9</xdr:col>
      <xdr:colOff>123825</xdr:colOff>
      <xdr:row>49</xdr:row>
      <xdr:rowOff>0</xdr:rowOff>
    </xdr:to>
    <xdr:sp>
      <xdr:nvSpPr>
        <xdr:cNvPr id="23" name="Line 25"/>
        <xdr:cNvSpPr>
          <a:spLocks/>
        </xdr:cNvSpPr>
      </xdr:nvSpPr>
      <xdr:spPr>
        <a:xfrm flipV="1">
          <a:off x="2438400" y="63817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123825</xdr:colOff>
      <xdr:row>44</xdr:row>
      <xdr:rowOff>76200</xdr:rowOff>
    </xdr:from>
    <xdr:to>
      <xdr:col>7</xdr:col>
      <xdr:colOff>123825</xdr:colOff>
      <xdr:row>49</xdr:row>
      <xdr:rowOff>0</xdr:rowOff>
    </xdr:to>
    <xdr:sp>
      <xdr:nvSpPr>
        <xdr:cNvPr id="24" name="Line 33"/>
        <xdr:cNvSpPr>
          <a:spLocks/>
        </xdr:cNvSpPr>
      </xdr:nvSpPr>
      <xdr:spPr>
        <a:xfrm>
          <a:off x="1924050" y="63627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123825</xdr:colOff>
      <xdr:row>45</xdr:row>
      <xdr:rowOff>0</xdr:rowOff>
    </xdr:from>
    <xdr:to>
      <xdr:col>8</xdr:col>
      <xdr:colOff>123825</xdr:colOff>
      <xdr:row>49</xdr:row>
      <xdr:rowOff>0</xdr:rowOff>
    </xdr:to>
    <xdr:sp>
      <xdr:nvSpPr>
        <xdr:cNvPr id="25" name="Line 34"/>
        <xdr:cNvSpPr>
          <a:spLocks/>
        </xdr:cNvSpPr>
      </xdr:nvSpPr>
      <xdr:spPr>
        <a:xfrm>
          <a:off x="2181225" y="6429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</xdr:row>
      <xdr:rowOff>95250</xdr:rowOff>
    </xdr:from>
    <xdr:to>
      <xdr:col>25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772400" y="523875"/>
          <a:ext cx="323850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7124700" y="714375"/>
          <a:ext cx="64770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23</xdr:col>
      <xdr:colOff>0</xdr:colOff>
      <xdr:row>57</xdr:row>
      <xdr:rowOff>0</xdr:rowOff>
    </xdr:to>
    <xdr:graphicFrame>
      <xdr:nvGraphicFramePr>
        <xdr:cNvPr id="3" name="Chart 4"/>
        <xdr:cNvGraphicFramePr/>
      </xdr:nvGraphicFramePr>
      <xdr:xfrm>
        <a:off x="1285875" y="5429250"/>
        <a:ext cx="4629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23</xdr:col>
      <xdr:colOff>9525</xdr:colOff>
      <xdr:row>57</xdr:row>
      <xdr:rowOff>9525</xdr:rowOff>
    </xdr:to>
    <xdr:graphicFrame>
      <xdr:nvGraphicFramePr>
        <xdr:cNvPr id="3" name="Chart 4"/>
        <xdr:cNvGraphicFramePr/>
      </xdr:nvGraphicFramePr>
      <xdr:xfrm>
        <a:off x="1285875" y="5429250"/>
        <a:ext cx="46386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23</xdr:col>
      <xdr:colOff>0</xdr:colOff>
      <xdr:row>57</xdr:row>
      <xdr:rowOff>0</xdr:rowOff>
    </xdr:to>
    <xdr:graphicFrame>
      <xdr:nvGraphicFramePr>
        <xdr:cNvPr id="3" name="Chart 4"/>
        <xdr:cNvGraphicFramePr/>
      </xdr:nvGraphicFramePr>
      <xdr:xfrm>
        <a:off x="1285875" y="5572125"/>
        <a:ext cx="4629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95250</xdr:rowOff>
    </xdr:from>
    <xdr:to>
      <xdr:col>32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72425" y="381000"/>
          <a:ext cx="257175" cy="3333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458075" y="571500"/>
          <a:ext cx="51435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23</xdr:col>
      <xdr:colOff>0</xdr:colOff>
      <xdr:row>57</xdr:row>
      <xdr:rowOff>0</xdr:rowOff>
    </xdr:to>
    <xdr:graphicFrame>
      <xdr:nvGraphicFramePr>
        <xdr:cNvPr id="3" name="Chart 4"/>
        <xdr:cNvGraphicFramePr/>
      </xdr:nvGraphicFramePr>
      <xdr:xfrm>
        <a:off x="1028700" y="5572125"/>
        <a:ext cx="48863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es.co.kr/" TargetMode="External" /><Relationship Id="rId2" Type="http://schemas.openxmlformats.org/officeDocument/2006/relationships/hyperlink" Target="mailto:ntes@ntes.co.kr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63"/>
  <sheetViews>
    <sheetView view="pageBreakPreview" zoomScaleSheetLayoutView="100" workbookViewId="0" topLeftCell="A1">
      <selection activeCell="S3" sqref="S3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1:25" ht="11.25" customHeight="1">
      <c r="A1" s="43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 t="s">
        <v>40</v>
      </c>
      <c r="P1" s="36"/>
      <c r="Q1" s="127" t="str">
        <f>V1</f>
        <v>TM - MFN - 100</v>
      </c>
      <c r="R1" s="127"/>
      <c r="S1" s="127"/>
      <c r="T1" s="127"/>
      <c r="U1" s="36"/>
      <c r="V1" s="125" t="s">
        <v>64</v>
      </c>
      <c r="W1" s="125"/>
      <c r="X1" s="125"/>
      <c r="Y1" s="125"/>
    </row>
    <row r="2" spans="1:21" ht="11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"/>
      <c r="P2" s="8"/>
      <c r="Q2" s="42"/>
      <c r="R2" s="42"/>
      <c r="S2" s="42"/>
      <c r="T2" s="42"/>
      <c r="U2" s="19"/>
    </row>
    <row r="3" spans="1:21" ht="11.2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9"/>
      <c r="P3" s="19"/>
      <c r="Q3" s="16"/>
      <c r="R3" s="16"/>
      <c r="S3" s="16"/>
      <c r="T3" s="16"/>
      <c r="U3" s="19"/>
    </row>
    <row r="4" spans="1:3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26" t="s">
        <v>41</v>
      </c>
      <c r="W4" s="126"/>
      <c r="X4" s="126"/>
      <c r="Y4" s="126"/>
      <c r="Z4" s="126"/>
      <c r="AA4" s="126"/>
      <c r="AB4" s="126"/>
      <c r="AC4" s="126"/>
      <c r="AD4" s="126"/>
      <c r="AE4" s="126"/>
    </row>
    <row r="5" spans="1:3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23"/>
      <c r="W5" s="123"/>
      <c r="X5" s="123"/>
      <c r="Y5" s="123"/>
      <c r="Z5" s="123"/>
      <c r="AA5" s="123"/>
      <c r="AB5" s="123"/>
      <c r="AC5" s="123"/>
      <c r="AD5" s="123"/>
      <c r="AE5" s="123"/>
    </row>
    <row r="6" spans="1:21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1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1.25" customHeight="1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31" ht="11.25" customHeight="1">
      <c r="A10" s="19"/>
      <c r="B10" s="19"/>
      <c r="C10" s="19"/>
      <c r="D10" s="19"/>
      <c r="E10" s="19"/>
      <c r="F10" s="121" t="str">
        <f>V10</f>
        <v>Technical   Material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9"/>
      <c r="Q10" s="19"/>
      <c r="R10" s="19"/>
      <c r="S10" s="19"/>
      <c r="T10" s="19"/>
      <c r="U10" s="19"/>
      <c r="V10" s="126" t="s">
        <v>42</v>
      </c>
      <c r="W10" s="126"/>
      <c r="X10" s="126"/>
      <c r="Y10" s="126"/>
      <c r="Z10" s="126"/>
      <c r="AA10" s="126"/>
      <c r="AB10" s="126"/>
      <c r="AC10" s="126"/>
      <c r="AD10" s="126"/>
      <c r="AE10" s="126"/>
    </row>
    <row r="11" spans="1:31" ht="11.25" customHeight="1">
      <c r="A11" s="19"/>
      <c r="B11" s="19"/>
      <c r="C11" s="19"/>
      <c r="D11" s="19"/>
      <c r="E11" s="19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9"/>
      <c r="Q11" s="19"/>
      <c r="R11" s="19"/>
      <c r="S11" s="19"/>
      <c r="T11" s="19"/>
      <c r="U11" s="19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</row>
    <row r="12" spans="1:21" ht="11.25" customHeight="1">
      <c r="A12" s="19"/>
      <c r="B12" s="19"/>
      <c r="C12" s="19"/>
      <c r="D12" s="19"/>
      <c r="E12" s="19"/>
      <c r="F12" s="123" t="s">
        <v>63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9"/>
      <c r="Q12" s="19"/>
      <c r="R12" s="19"/>
      <c r="S12" s="19"/>
      <c r="T12" s="19"/>
      <c r="U12" s="19"/>
    </row>
    <row r="13" spans="1:21" ht="11.25" customHeight="1" thickBot="1">
      <c r="A13" s="19"/>
      <c r="B13" s="19"/>
      <c r="C13" s="19"/>
      <c r="D13" s="19"/>
      <c r="E13" s="19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9"/>
      <c r="Q13" s="19"/>
      <c r="R13" s="19"/>
      <c r="S13" s="19"/>
      <c r="T13" s="19"/>
      <c r="U13" s="19"/>
    </row>
    <row r="14" spans="1:21" ht="11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1.25" customHeight="1">
      <c r="A15" s="19"/>
      <c r="B15" s="19"/>
      <c r="C15" s="19"/>
      <c r="D15" s="19"/>
      <c r="E15" s="19"/>
      <c r="F15" s="19"/>
      <c r="G15" s="44"/>
      <c r="H15" s="44"/>
      <c r="I15" s="44"/>
      <c r="J15" s="44"/>
      <c r="K15" s="44"/>
      <c r="L15" s="44"/>
      <c r="M15" s="44"/>
      <c r="N15" s="44"/>
      <c r="O15" s="19"/>
      <c r="P15" s="19"/>
      <c r="Q15" s="19"/>
      <c r="R15" s="19"/>
      <c r="S15" s="19"/>
      <c r="T15" s="19"/>
      <c r="U15" s="19"/>
    </row>
    <row r="16" spans="1:21" ht="11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1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1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1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35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1.2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35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1.2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35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1.2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35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1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35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1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5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1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5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1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5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1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1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5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1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1.2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1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1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1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1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1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1.2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1.2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1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1.2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2" ht="11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5" t="s">
        <v>30</v>
      </c>
    </row>
    <row r="42" spans="1:22" ht="11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46" t="s">
        <v>43</v>
      </c>
      <c r="P42" s="47">
        <f>V42+2</f>
        <v>14</v>
      </c>
      <c r="Q42" s="19" t="s">
        <v>44</v>
      </c>
      <c r="R42" s="19"/>
      <c r="S42" s="19"/>
      <c r="T42" s="29"/>
      <c r="U42" s="19"/>
      <c r="V42" s="2">
        <f>sheetqty</f>
        <v>12</v>
      </c>
    </row>
    <row r="43" spans="1:21" ht="11.25" customHeight="1">
      <c r="A43" s="48">
        <v>5</v>
      </c>
      <c r="B43" s="119"/>
      <c r="C43" s="120"/>
      <c r="D43" s="11"/>
      <c r="E43" s="11"/>
      <c r="F43" s="11"/>
      <c r="G43" s="11"/>
      <c r="H43" s="11"/>
      <c r="I43" s="11"/>
      <c r="J43" s="11"/>
      <c r="K43" s="11"/>
      <c r="L43" s="11"/>
      <c r="M43" s="115"/>
      <c r="N43" s="114"/>
      <c r="O43" s="113"/>
      <c r="P43" s="114"/>
      <c r="Q43" s="113"/>
      <c r="R43" s="114"/>
      <c r="S43" s="115"/>
      <c r="T43" s="115"/>
      <c r="U43" s="19"/>
    </row>
    <row r="44" spans="1:21" ht="11.25" customHeight="1">
      <c r="A44" s="39">
        <v>4</v>
      </c>
      <c r="B44" s="117"/>
      <c r="C44" s="118"/>
      <c r="D44" s="7"/>
      <c r="E44" s="7"/>
      <c r="F44" s="7"/>
      <c r="G44" s="7"/>
      <c r="H44" s="7"/>
      <c r="I44" s="7"/>
      <c r="J44" s="7"/>
      <c r="K44" s="7"/>
      <c r="L44" s="7"/>
      <c r="M44" s="110"/>
      <c r="N44" s="112"/>
      <c r="O44" s="111"/>
      <c r="P44" s="112"/>
      <c r="Q44" s="111"/>
      <c r="R44" s="112"/>
      <c r="S44" s="110"/>
      <c r="T44" s="110"/>
      <c r="U44" s="19"/>
    </row>
    <row r="45" spans="1:21" ht="11.25" customHeight="1">
      <c r="A45" s="39">
        <v>3</v>
      </c>
      <c r="B45" s="117"/>
      <c r="C45" s="118"/>
      <c r="D45" s="7"/>
      <c r="E45" s="7"/>
      <c r="F45" s="7"/>
      <c r="G45" s="7"/>
      <c r="H45" s="7"/>
      <c r="I45" s="7"/>
      <c r="J45" s="7"/>
      <c r="K45" s="7"/>
      <c r="L45" s="7"/>
      <c r="M45" s="110"/>
      <c r="N45" s="112"/>
      <c r="O45" s="111"/>
      <c r="P45" s="112"/>
      <c r="Q45" s="111"/>
      <c r="R45" s="112"/>
      <c r="S45" s="110"/>
      <c r="T45" s="110"/>
      <c r="U45" s="19"/>
    </row>
    <row r="46" spans="1:21" ht="11.25" customHeight="1">
      <c r="A46" s="39">
        <v>2</v>
      </c>
      <c r="B46" s="117"/>
      <c r="C46" s="118"/>
      <c r="D46" s="7"/>
      <c r="E46" s="7"/>
      <c r="F46" s="7"/>
      <c r="G46" s="7"/>
      <c r="H46" s="7"/>
      <c r="I46" s="7"/>
      <c r="J46" s="7"/>
      <c r="K46" s="7"/>
      <c r="L46" s="7"/>
      <c r="M46" s="110"/>
      <c r="N46" s="112"/>
      <c r="O46" s="111"/>
      <c r="P46" s="112"/>
      <c r="Q46" s="111"/>
      <c r="R46" s="112"/>
      <c r="S46" s="110"/>
      <c r="T46" s="110"/>
      <c r="U46" s="19"/>
    </row>
    <row r="47" spans="1:21" ht="11.25" customHeight="1">
      <c r="A47" s="39">
        <v>1</v>
      </c>
      <c r="B47" s="117"/>
      <c r="C47" s="118"/>
      <c r="D47" s="7"/>
      <c r="E47" s="7"/>
      <c r="F47" s="7"/>
      <c r="G47" s="7"/>
      <c r="H47" s="7"/>
      <c r="I47" s="7"/>
      <c r="J47" s="7"/>
      <c r="K47" s="7"/>
      <c r="L47" s="7"/>
      <c r="M47" s="110"/>
      <c r="N47" s="112"/>
      <c r="O47" s="111" t="str">
        <f>O48</f>
        <v>S. J. Lee</v>
      </c>
      <c r="P47" s="112"/>
      <c r="Q47" s="111" t="str">
        <f>Q48</f>
        <v>Lee</v>
      </c>
      <c r="R47" s="112"/>
      <c r="S47" s="110" t="str">
        <f>S48</f>
        <v>LSJ</v>
      </c>
      <c r="T47" s="110"/>
      <c r="U47" s="19"/>
    </row>
    <row r="48" spans="1:21" ht="11.25" customHeight="1">
      <c r="A48" s="39">
        <v>0</v>
      </c>
      <c r="B48" s="117" t="s">
        <v>61</v>
      </c>
      <c r="C48" s="118"/>
      <c r="D48" s="7" t="s">
        <v>62</v>
      </c>
      <c r="E48" s="7"/>
      <c r="F48" s="7"/>
      <c r="G48" s="7"/>
      <c r="H48" s="7"/>
      <c r="I48" s="7"/>
      <c r="J48" s="7"/>
      <c r="K48" s="7"/>
      <c r="L48" s="7"/>
      <c r="M48" s="110"/>
      <c r="N48" s="112"/>
      <c r="O48" s="111" t="s">
        <v>45</v>
      </c>
      <c r="P48" s="112"/>
      <c r="Q48" s="111" t="s">
        <v>46</v>
      </c>
      <c r="R48" s="112"/>
      <c r="S48" s="110" t="s">
        <v>47</v>
      </c>
      <c r="T48" s="110"/>
      <c r="U48" s="19"/>
    </row>
    <row r="49" spans="1:21" ht="11.25" customHeight="1">
      <c r="A49" s="104" t="s">
        <v>48</v>
      </c>
      <c r="B49" s="106" t="s">
        <v>49</v>
      </c>
      <c r="C49" s="106"/>
      <c r="D49" s="108" t="s">
        <v>50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6" t="s">
        <v>51</v>
      </c>
      <c r="P49" s="106"/>
      <c r="Q49" s="106" t="s">
        <v>52</v>
      </c>
      <c r="R49" s="106"/>
      <c r="S49" s="106" t="s">
        <v>53</v>
      </c>
      <c r="T49" s="108"/>
      <c r="U49" s="19"/>
    </row>
    <row r="50" spans="1:21" ht="11.25" customHeight="1">
      <c r="A50" s="105"/>
      <c r="B50" s="107"/>
      <c r="C50" s="107"/>
      <c r="D50" s="102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7"/>
      <c r="P50" s="107"/>
      <c r="Q50" s="107"/>
      <c r="R50" s="107"/>
      <c r="S50" s="107"/>
      <c r="T50" s="102"/>
      <c r="U50" s="19"/>
    </row>
    <row r="51" spans="1:21" ht="11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1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19"/>
    </row>
    <row r="54" spans="1:20" ht="11.25" customHeight="1">
      <c r="A54" s="101" t="s">
        <v>31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1" ht="11.2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9"/>
    </row>
    <row r="56" spans="1:21" ht="11.25" customHeight="1">
      <c r="A56" s="116" t="str">
        <f>T63</f>
        <v>Narai  Thermal  Engineering  Services 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9"/>
    </row>
    <row r="57" spans="1:20" ht="11.2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</row>
    <row r="58" spans="1:20" ht="11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1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1.25" customHeight="1">
      <c r="A60" s="19"/>
      <c r="B60" s="19" t="s">
        <v>54</v>
      </c>
      <c r="C60" s="19"/>
      <c r="D60" s="50" t="s">
        <v>55</v>
      </c>
      <c r="E60" s="19"/>
      <c r="F60" s="19"/>
      <c r="G60" s="19"/>
      <c r="H60" s="19"/>
      <c r="I60" s="19"/>
      <c r="J60" s="49"/>
      <c r="K60" s="49"/>
      <c r="L60" s="49"/>
      <c r="M60" s="19"/>
      <c r="N60" s="49"/>
      <c r="O60" s="19" t="s">
        <v>56</v>
      </c>
      <c r="P60" s="19"/>
      <c r="Q60" s="50" t="s">
        <v>57</v>
      </c>
      <c r="R60" s="19"/>
      <c r="S60" s="19"/>
      <c r="T60" s="19"/>
    </row>
    <row r="61" spans="1:20" ht="11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R61" s="19"/>
      <c r="S61" s="19"/>
      <c r="T61" s="19"/>
    </row>
    <row r="62" spans="1:20" ht="11.2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1.25" customHeight="1">
      <c r="A63" s="20" t="s">
        <v>28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51" t="s">
        <v>32</v>
      </c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</sheetData>
  <mergeCells count="44">
    <mergeCell ref="F10:O11"/>
    <mergeCell ref="F12:O13"/>
    <mergeCell ref="V1:Y1"/>
    <mergeCell ref="V4:AE5"/>
    <mergeCell ref="V10:AE11"/>
    <mergeCell ref="Q1:T1"/>
    <mergeCell ref="M43:N43"/>
    <mergeCell ref="B45:C45"/>
    <mergeCell ref="B43:C43"/>
    <mergeCell ref="M45:N45"/>
    <mergeCell ref="B46:C46"/>
    <mergeCell ref="O46:P46"/>
    <mergeCell ref="Q46:R46"/>
    <mergeCell ref="B44:C44"/>
    <mergeCell ref="M44:N44"/>
    <mergeCell ref="M46:N46"/>
    <mergeCell ref="O45:P45"/>
    <mergeCell ref="Q45:R45"/>
    <mergeCell ref="A54:T55"/>
    <mergeCell ref="B47:C47"/>
    <mergeCell ref="M47:N47"/>
    <mergeCell ref="O47:P47"/>
    <mergeCell ref="B49:C50"/>
    <mergeCell ref="O48:P48"/>
    <mergeCell ref="S49:T50"/>
    <mergeCell ref="Q49:R50"/>
    <mergeCell ref="B48:C48"/>
    <mergeCell ref="S46:T46"/>
    <mergeCell ref="Q47:R47"/>
    <mergeCell ref="S47:T47"/>
    <mergeCell ref="A56:T57"/>
    <mergeCell ref="Q48:R48"/>
    <mergeCell ref="S48:T48"/>
    <mergeCell ref="M48:N48"/>
    <mergeCell ref="A49:A50"/>
    <mergeCell ref="O49:P50"/>
    <mergeCell ref="D49:N50"/>
    <mergeCell ref="S45:T45"/>
    <mergeCell ref="O44:P44"/>
    <mergeCell ref="Q44:R44"/>
    <mergeCell ref="Q43:R43"/>
    <mergeCell ref="S43:T43"/>
    <mergeCell ref="S44:T44"/>
    <mergeCell ref="O43:P43"/>
  </mergeCells>
  <hyperlinks>
    <hyperlink ref="D60" r:id="rId1" display="www.ntes.co.kr"/>
    <hyperlink ref="Q60" r:id="rId2" display="ntes@ntes.co.kr"/>
  </hyperlinks>
  <printOptions/>
  <pageMargins left="0.9448818897637796" right="0.3937007874015748" top="0.7874015748031497" bottom="0.3937007874015748" header="0.5118110236220472" footer="0.5118110236220472"/>
  <pageSetup horizontalDpi="1200" verticalDpi="12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M64"/>
  <sheetViews>
    <sheetView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58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59</v>
      </c>
      <c r="U2" s="7"/>
      <c r="V2" s="76"/>
      <c r="W2" s="117" t="s">
        <v>65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66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34</v>
      </c>
      <c r="U4" s="17"/>
      <c r="V4" s="78"/>
      <c r="W4" s="80">
        <v>8</v>
      </c>
      <c r="X4" s="148" t="s">
        <v>35</v>
      </c>
      <c r="Y4" s="148"/>
      <c r="Z4" s="38">
        <f>sheetqty</f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7" ht="11.25" customHeight="1">
      <c r="A9" s="3"/>
      <c r="B9" s="19"/>
      <c r="C9" s="71" t="s">
        <v>207</v>
      </c>
      <c r="D9" s="20" t="s">
        <v>202</v>
      </c>
      <c r="E9" s="35"/>
      <c r="F9" s="3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1.25" customHeight="1">
      <c r="A10" s="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1.25" customHeight="1">
      <c r="A11" s="3"/>
      <c r="B11" s="19"/>
      <c r="C11" s="19"/>
      <c r="D11" s="19" t="s">
        <v>158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1.25" customHeight="1">
      <c r="A12" s="3"/>
      <c r="B12" s="19"/>
      <c r="C12" s="19"/>
      <c r="D12" s="19" t="s">
        <v>159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1.25" customHeight="1">
      <c r="A13" s="3"/>
      <c r="B13" s="19"/>
      <c r="C13" s="19"/>
      <c r="D13" s="19" t="s">
        <v>160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6" ht="11.25" customHeight="1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7" ht="11.25" customHeight="1">
      <c r="A15" s="3"/>
      <c r="B15" s="19"/>
      <c r="C15" s="19"/>
      <c r="D15" s="19"/>
      <c r="E15" s="19"/>
      <c r="F15" s="19"/>
      <c r="G15" s="19"/>
      <c r="H15" s="19"/>
      <c r="I15" s="19"/>
      <c r="J15" s="19"/>
      <c r="K15" s="84" t="s">
        <v>187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1.25" customHeight="1">
      <c r="A16" s="3"/>
      <c r="B16" s="19"/>
      <c r="C16" s="19"/>
      <c r="D16" s="178" t="str">
        <f>"I"&amp;AB17&amp;"(x)"</f>
        <v>Iα(x)</v>
      </c>
      <c r="E16" s="178"/>
      <c r="F16" s="177" t="s">
        <v>162</v>
      </c>
      <c r="G16" s="187" t="s">
        <v>163</v>
      </c>
      <c r="H16" s="187" t="str">
        <f>"J"&amp;AB17&amp;"(ix)"</f>
        <v>Jα(ix)</v>
      </c>
      <c r="I16" s="187"/>
      <c r="J16" s="157" t="s">
        <v>162</v>
      </c>
      <c r="K16" s="156" t="s">
        <v>164</v>
      </c>
      <c r="L16" s="19"/>
      <c r="M16" s="19"/>
      <c r="N16" s="19"/>
      <c r="O16" s="19"/>
      <c r="P16" s="16">
        <v>1</v>
      </c>
      <c r="Q16" s="19"/>
      <c r="R16" s="19"/>
      <c r="S16" s="19"/>
      <c r="T16" s="19"/>
      <c r="U16" s="157" t="s">
        <v>165</v>
      </c>
      <c r="V16" s="16" t="s">
        <v>166</v>
      </c>
      <c r="W16" s="157" t="s">
        <v>167</v>
      </c>
      <c r="X16" s="46" t="str">
        <f>"2 "&amp;J18&amp;" + "&amp;AB17</f>
        <v>2 n + α</v>
      </c>
      <c r="Y16" s="19"/>
      <c r="Z16" s="19"/>
      <c r="AA16" s="19"/>
    </row>
    <row r="17" spans="1:28" ht="11.25" customHeight="1">
      <c r="A17" s="3"/>
      <c r="B17" s="19"/>
      <c r="C17" s="19"/>
      <c r="D17" s="178"/>
      <c r="E17" s="178"/>
      <c r="F17" s="177"/>
      <c r="G17" s="187"/>
      <c r="H17" s="187"/>
      <c r="I17" s="187"/>
      <c r="J17" s="157"/>
      <c r="K17" s="156"/>
      <c r="L17" s="83" t="str">
        <f>J18&amp;" !"</f>
        <v>n !</v>
      </c>
      <c r="M17" s="83" t="s">
        <v>168</v>
      </c>
      <c r="N17" s="83" t="s">
        <v>165</v>
      </c>
      <c r="O17" s="83" t="str">
        <f>J18</f>
        <v>n</v>
      </c>
      <c r="P17" s="83" t="s">
        <v>169</v>
      </c>
      <c r="Q17" s="83" t="str">
        <f>AB17</f>
        <v>α</v>
      </c>
      <c r="R17" s="83" t="s">
        <v>169</v>
      </c>
      <c r="S17" s="83">
        <v>1</v>
      </c>
      <c r="T17" s="83" t="s">
        <v>170</v>
      </c>
      <c r="U17" s="157"/>
      <c r="V17" s="83">
        <v>2</v>
      </c>
      <c r="W17" s="157"/>
      <c r="X17" s="19"/>
      <c r="Y17" s="19"/>
      <c r="Z17" s="19"/>
      <c r="AA17" s="19"/>
      <c r="AB17" s="89" t="s">
        <v>192</v>
      </c>
    </row>
    <row r="18" spans="1:27" ht="11.25" customHeight="1">
      <c r="A18" s="3"/>
      <c r="B18" s="19"/>
      <c r="C18" s="19"/>
      <c r="D18" s="19"/>
      <c r="E18" s="19"/>
      <c r="F18" s="19"/>
      <c r="G18" s="19"/>
      <c r="H18" s="19"/>
      <c r="I18" s="19"/>
      <c r="J18" s="29" t="s">
        <v>74</v>
      </c>
      <c r="K18" s="16" t="s">
        <v>79</v>
      </c>
      <c r="L18" s="46"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1.25" customHeight="1">
      <c r="A19" s="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1.25" customHeight="1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11.25" customHeight="1">
      <c r="A21" s="3"/>
      <c r="B21" s="19"/>
      <c r="C21" s="19"/>
      <c r="D21" s="19"/>
      <c r="E21" s="19"/>
      <c r="F21" s="19"/>
      <c r="G21" s="84" t="s">
        <v>187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1.25" customHeight="1">
      <c r="A22" s="3"/>
      <c r="B22" s="19"/>
      <c r="C22" s="19"/>
      <c r="D22" s="178" t="s">
        <v>175</v>
      </c>
      <c r="E22" s="178"/>
      <c r="F22" s="154" t="s">
        <v>162</v>
      </c>
      <c r="G22" s="156" t="s">
        <v>164</v>
      </c>
      <c r="H22" s="19"/>
      <c r="I22" s="16">
        <v>1</v>
      </c>
      <c r="J22" s="19"/>
      <c r="K22" s="157" t="s">
        <v>165</v>
      </c>
      <c r="L22" s="16" t="str">
        <f>V16</f>
        <v>x</v>
      </c>
      <c r="M22" s="157" t="s">
        <v>167</v>
      </c>
      <c r="N22" s="46" t="str">
        <f>"2 "&amp;J18</f>
        <v>2 n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1.25" customHeight="1">
      <c r="A23" s="3"/>
      <c r="B23" s="19"/>
      <c r="C23" s="19"/>
      <c r="D23" s="178"/>
      <c r="E23" s="178"/>
      <c r="F23" s="154"/>
      <c r="G23" s="156"/>
      <c r="H23" s="83" t="str">
        <f>F24&amp;" !"</f>
        <v>n !</v>
      </c>
      <c r="I23" s="83" t="s">
        <v>176</v>
      </c>
      <c r="J23" s="83">
        <v>2</v>
      </c>
      <c r="K23" s="157"/>
      <c r="L23" s="83">
        <f>V17</f>
        <v>2</v>
      </c>
      <c r="M23" s="157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1.25" customHeight="1">
      <c r="A24" s="3"/>
      <c r="B24" s="19"/>
      <c r="C24" s="19"/>
      <c r="D24" s="19"/>
      <c r="E24" s="19"/>
      <c r="F24" s="29" t="str">
        <f>J18</f>
        <v>n</v>
      </c>
      <c r="G24" s="16" t="s">
        <v>79</v>
      </c>
      <c r="H24" s="46">
        <f>L18</f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6" ht="11.25" customHeight="1">
      <c r="A25" s="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35" ht="11.25" customHeight="1">
      <c r="A26" s="3"/>
      <c r="B26" s="19"/>
      <c r="C26" s="19"/>
      <c r="D26" s="19"/>
      <c r="E26" s="19"/>
      <c r="F26" s="154" t="s">
        <v>162</v>
      </c>
      <c r="G26" s="157">
        <v>1</v>
      </c>
      <c r="H26" s="186" t="s">
        <v>169</v>
      </c>
      <c r="I26" s="19"/>
      <c r="J26" s="16">
        <v>1</v>
      </c>
      <c r="K26" s="19"/>
      <c r="L26" s="157" t="s">
        <v>165</v>
      </c>
      <c r="M26" s="16" t="str">
        <f>L22</f>
        <v>x</v>
      </c>
      <c r="N26" s="157" t="s">
        <v>167</v>
      </c>
      <c r="O26" s="46">
        <f>2*1</f>
        <v>2</v>
      </c>
      <c r="P26" s="157" t="s">
        <v>169</v>
      </c>
      <c r="Q26" s="19"/>
      <c r="R26" s="16">
        <v>1</v>
      </c>
      <c r="S26" s="19"/>
      <c r="T26" s="157" t="s">
        <v>165</v>
      </c>
      <c r="U26" s="16" t="str">
        <f>M26</f>
        <v>x</v>
      </c>
      <c r="V26" s="157" t="s">
        <v>167</v>
      </c>
      <c r="W26" s="46">
        <f>2*2</f>
        <v>4</v>
      </c>
      <c r="X26" s="157" t="s">
        <v>169</v>
      </c>
      <c r="Y26" s="173" t="s">
        <v>177</v>
      </c>
      <c r="Z26" s="173"/>
      <c r="AA26" s="19"/>
      <c r="AB26" s="157" t="s">
        <v>169</v>
      </c>
      <c r="AC26" s="19"/>
      <c r="AD26" s="19">
        <f>R26</f>
        <v>1</v>
      </c>
      <c r="AE26" s="19"/>
      <c r="AF26" s="157" t="s">
        <v>165</v>
      </c>
      <c r="AG26" s="16" t="str">
        <f>U26</f>
        <v>x</v>
      </c>
      <c r="AH26" s="157" t="s">
        <v>167</v>
      </c>
      <c r="AI26" s="46">
        <f>2*3</f>
        <v>6</v>
      </c>
    </row>
    <row r="27" spans="1:35" ht="11.25" customHeight="1">
      <c r="A27" s="3"/>
      <c r="B27" s="19"/>
      <c r="C27" s="19"/>
      <c r="D27" s="19"/>
      <c r="E27" s="19"/>
      <c r="F27" s="154"/>
      <c r="G27" s="157"/>
      <c r="H27" s="186"/>
      <c r="I27" s="83" t="s">
        <v>188</v>
      </c>
      <c r="J27" s="83" t="s">
        <v>176</v>
      </c>
      <c r="K27" s="83">
        <f>J23</f>
        <v>2</v>
      </c>
      <c r="L27" s="157"/>
      <c r="M27" s="83">
        <f>L23</f>
        <v>2</v>
      </c>
      <c r="N27" s="157"/>
      <c r="O27" s="19"/>
      <c r="P27" s="157"/>
      <c r="Q27" s="83" t="s">
        <v>178</v>
      </c>
      <c r="R27" s="83" t="s">
        <v>176</v>
      </c>
      <c r="S27" s="83">
        <f>K27</f>
        <v>2</v>
      </c>
      <c r="T27" s="157"/>
      <c r="U27" s="83">
        <f>M27</f>
        <v>2</v>
      </c>
      <c r="V27" s="157"/>
      <c r="W27" s="19"/>
      <c r="X27" s="157"/>
      <c r="Y27" s="173"/>
      <c r="Z27" s="173"/>
      <c r="AA27" s="19"/>
      <c r="AB27" s="157"/>
      <c r="AC27" s="83" t="s">
        <v>179</v>
      </c>
      <c r="AD27" s="83" t="s">
        <v>176</v>
      </c>
      <c r="AE27" s="83">
        <f>S27</f>
        <v>2</v>
      </c>
      <c r="AF27" s="157"/>
      <c r="AG27" s="83">
        <f>U27</f>
        <v>2</v>
      </c>
      <c r="AH27" s="157"/>
      <c r="AI27" s="19"/>
    </row>
    <row r="28" spans="1:27" ht="11.25" customHeigh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1.25" customHeight="1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1.25" customHeight="1">
      <c r="A30" s="3"/>
      <c r="B30" s="19"/>
      <c r="C30" s="19"/>
      <c r="D30" s="19"/>
      <c r="E30" s="19"/>
      <c r="F30" s="19"/>
      <c r="G30" s="84" t="s">
        <v>161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1.25" customHeight="1">
      <c r="A31" s="3"/>
      <c r="B31" s="19"/>
      <c r="C31" s="19"/>
      <c r="D31" s="178" t="s">
        <v>180</v>
      </c>
      <c r="E31" s="178"/>
      <c r="F31" s="154" t="s">
        <v>162</v>
      </c>
      <c r="G31" s="156" t="s">
        <v>164</v>
      </c>
      <c r="H31" s="19"/>
      <c r="I31" s="19"/>
      <c r="J31" s="16">
        <v>1</v>
      </c>
      <c r="K31" s="19"/>
      <c r="L31" s="19"/>
      <c r="M31" s="157" t="s">
        <v>165</v>
      </c>
      <c r="N31" s="16" t="str">
        <f>V16</f>
        <v>x</v>
      </c>
      <c r="O31" s="157" t="s">
        <v>167</v>
      </c>
      <c r="P31" s="46" t="str">
        <f>"2 "&amp;F33&amp;" + 1"</f>
        <v>2 n + 1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1.25" customHeight="1">
      <c r="A32" s="3"/>
      <c r="B32" s="19"/>
      <c r="C32" s="19"/>
      <c r="D32" s="178"/>
      <c r="E32" s="178"/>
      <c r="F32" s="154"/>
      <c r="G32" s="156"/>
      <c r="H32" s="179" t="str">
        <f>F33&amp;" + 1"</f>
        <v>n + 1</v>
      </c>
      <c r="I32" s="179"/>
      <c r="J32" s="83" t="str">
        <f>F33&amp;" !"</f>
        <v>n !</v>
      </c>
      <c r="K32" s="83" t="s">
        <v>176</v>
      </c>
      <c r="L32" s="83">
        <v>2</v>
      </c>
      <c r="M32" s="157"/>
      <c r="N32" s="83">
        <f>V17</f>
        <v>2</v>
      </c>
      <c r="O32" s="157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1.25" customHeight="1">
      <c r="A33" s="3"/>
      <c r="B33" s="19"/>
      <c r="C33" s="19"/>
      <c r="D33" s="19"/>
      <c r="E33" s="19"/>
      <c r="F33" s="29" t="str">
        <f>J18</f>
        <v>n</v>
      </c>
      <c r="G33" s="16" t="s">
        <v>79</v>
      </c>
      <c r="H33" s="46">
        <f>L18</f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31" ht="11.25" customHeight="1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19"/>
      <c r="AD34" s="19"/>
      <c r="AE34" s="19"/>
    </row>
    <row r="35" spans="1:36" ht="11.25" customHeight="1">
      <c r="A35" s="3"/>
      <c r="B35" s="19"/>
      <c r="C35" s="19"/>
      <c r="D35" s="19"/>
      <c r="E35" s="19"/>
      <c r="F35" s="154" t="s">
        <v>162</v>
      </c>
      <c r="G35" s="19"/>
      <c r="H35" s="16">
        <v>1</v>
      </c>
      <c r="I35" s="19"/>
      <c r="J35" s="19"/>
      <c r="K35" s="157" t="s">
        <v>165</v>
      </c>
      <c r="L35" s="16" t="str">
        <f>N31</f>
        <v>x</v>
      </c>
      <c r="M35" s="157" t="s">
        <v>167</v>
      </c>
      <c r="N35" s="46">
        <f>2*0+1</f>
        <v>1</v>
      </c>
      <c r="O35" s="157" t="s">
        <v>90</v>
      </c>
      <c r="P35" s="19"/>
      <c r="Q35" s="16">
        <v>1</v>
      </c>
      <c r="R35" s="19"/>
      <c r="S35" s="19"/>
      <c r="T35" s="157" t="s">
        <v>165</v>
      </c>
      <c r="U35" s="16" t="str">
        <f>L35</f>
        <v>x</v>
      </c>
      <c r="V35" s="157" t="s">
        <v>167</v>
      </c>
      <c r="W35" s="46">
        <f>2*1+1</f>
        <v>3</v>
      </c>
      <c r="X35" s="157" t="s">
        <v>169</v>
      </c>
      <c r="Y35" s="173" t="s">
        <v>177</v>
      </c>
      <c r="Z35" s="173"/>
      <c r="AB35" s="157" t="s">
        <v>90</v>
      </c>
      <c r="AC35" s="19"/>
      <c r="AD35" s="3">
        <v>1</v>
      </c>
      <c r="AG35" s="157" t="s">
        <v>165</v>
      </c>
      <c r="AH35" s="16" t="str">
        <f>U35</f>
        <v>x</v>
      </c>
      <c r="AI35" s="157" t="s">
        <v>167</v>
      </c>
      <c r="AJ35" s="46">
        <f>2*2+1</f>
        <v>5</v>
      </c>
    </row>
    <row r="36" spans="1:36" ht="11.25" customHeight="1">
      <c r="A36" s="3"/>
      <c r="B36" s="19"/>
      <c r="C36" s="19"/>
      <c r="D36" s="19"/>
      <c r="E36" s="19"/>
      <c r="F36" s="154"/>
      <c r="G36" s="83">
        <f>0+1</f>
        <v>1</v>
      </c>
      <c r="H36" s="83" t="s">
        <v>189</v>
      </c>
      <c r="I36" s="83" t="s">
        <v>176</v>
      </c>
      <c r="J36" s="83">
        <f>L32</f>
        <v>2</v>
      </c>
      <c r="K36" s="157"/>
      <c r="L36" s="83">
        <f>N32</f>
        <v>2</v>
      </c>
      <c r="M36" s="157"/>
      <c r="N36" s="19"/>
      <c r="O36" s="157"/>
      <c r="P36" s="83">
        <f>1+1</f>
        <v>2</v>
      </c>
      <c r="Q36" s="83" t="s">
        <v>188</v>
      </c>
      <c r="R36" s="83" t="s">
        <v>176</v>
      </c>
      <c r="S36" s="83">
        <f>J36</f>
        <v>2</v>
      </c>
      <c r="T36" s="157"/>
      <c r="U36" s="83">
        <f>L36</f>
        <v>2</v>
      </c>
      <c r="V36" s="157"/>
      <c r="W36" s="19"/>
      <c r="X36" s="157"/>
      <c r="Y36" s="173"/>
      <c r="Z36" s="173"/>
      <c r="AA36" s="19"/>
      <c r="AB36" s="157"/>
      <c r="AC36" s="83">
        <f>2+1</f>
        <v>3</v>
      </c>
      <c r="AD36" s="83" t="s">
        <v>190</v>
      </c>
      <c r="AE36" s="83" t="s">
        <v>176</v>
      </c>
      <c r="AF36" s="83">
        <f>S36</f>
        <v>2</v>
      </c>
      <c r="AG36" s="157"/>
      <c r="AH36" s="83">
        <f>U36</f>
        <v>2</v>
      </c>
      <c r="AI36" s="157"/>
      <c r="AJ36" s="19"/>
    </row>
    <row r="37" spans="1:30" ht="11.25" customHeight="1">
      <c r="A37" s="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D37" s="19"/>
    </row>
    <row r="38" spans="1:26" ht="11.2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7" ht="11.25" customHeight="1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1.25" customHeight="1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39" ht="11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80" t="str">
        <f>F24</f>
        <v>n</v>
      </c>
      <c r="AC42" s="180"/>
      <c r="AD42" s="19" t="str">
        <f>L22</f>
        <v>x</v>
      </c>
      <c r="AE42" s="20">
        <v>1E-11</v>
      </c>
      <c r="AF42" s="86">
        <v>0.25</v>
      </c>
      <c r="AG42" s="87">
        <v>0.5</v>
      </c>
      <c r="AH42" s="86">
        <v>0.75</v>
      </c>
      <c r="AI42" s="87">
        <v>1</v>
      </c>
      <c r="AJ42" s="86">
        <v>1.25</v>
      </c>
      <c r="AK42" s="87">
        <v>1.5</v>
      </c>
      <c r="AL42" s="86">
        <v>1.75</v>
      </c>
      <c r="AM42" s="87">
        <v>2</v>
      </c>
    </row>
    <row r="43" spans="1:39" ht="11.25" customHeight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81">
        <v>10</v>
      </c>
      <c r="AC43" s="181"/>
      <c r="AD43" s="19" t="str">
        <f>D22</f>
        <v>I0(x)</v>
      </c>
      <c r="AE43" s="19">
        <f aca="true" t="shared" si="0" ref="AE43:AM43">Bessel_InJ(AE42,$AB$43,0)</f>
        <v>1</v>
      </c>
      <c r="AF43" s="19">
        <f t="shared" si="0"/>
        <v>1.0156861412236078</v>
      </c>
      <c r="AG43" s="88">
        <f t="shared" si="0"/>
        <v>1.0634833707413236</v>
      </c>
      <c r="AH43" s="19">
        <f t="shared" si="0"/>
        <v>1.1456467780440014</v>
      </c>
      <c r="AI43" s="88">
        <f t="shared" si="0"/>
        <v>1.2660658777520082</v>
      </c>
      <c r="AJ43" s="19">
        <f t="shared" si="0"/>
        <v>1.4304687177218294</v>
      </c>
      <c r="AK43" s="88">
        <f t="shared" si="0"/>
        <v>1.6467231897728907</v>
      </c>
      <c r="AL43" s="19">
        <f t="shared" si="0"/>
        <v>1.9252521538585023</v>
      </c>
      <c r="AM43" s="88">
        <f t="shared" si="0"/>
        <v>2.2795853023360664</v>
      </c>
    </row>
    <row r="44" spans="1:39" ht="11.25" customHeight="1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 t="str">
        <f>D31</f>
        <v>I1(x)</v>
      </c>
      <c r="AE44" s="19">
        <f aca="true" t="shared" si="1" ref="AE44:AM44">Bessel_InJ(AE42,$AB$43,1)</f>
        <v>5E-12</v>
      </c>
      <c r="AF44" s="19">
        <f t="shared" si="1"/>
        <v>0.12597910894546793</v>
      </c>
      <c r="AG44" s="88">
        <f t="shared" si="1"/>
        <v>0.25789430539089625</v>
      </c>
      <c r="AH44" s="19">
        <f t="shared" si="1"/>
        <v>0.4019924615809222</v>
      </c>
      <c r="AI44" s="88">
        <f t="shared" si="1"/>
        <v>0.565159103992485</v>
      </c>
      <c r="AJ44" s="19">
        <f t="shared" si="1"/>
        <v>0.7552814183407474</v>
      </c>
      <c r="AK44" s="88">
        <f t="shared" si="1"/>
        <v>0.9816664285779076</v>
      </c>
      <c r="AL44" s="19">
        <f t="shared" si="1"/>
        <v>1.2555375122401733</v>
      </c>
      <c r="AM44" s="88">
        <f t="shared" si="1"/>
        <v>1.5906368546373288</v>
      </c>
    </row>
    <row r="45" spans="1:30" ht="11.25" customHeight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D45" s="19"/>
    </row>
    <row r="46" spans="1:30" ht="11.25" customHeight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D46" s="19"/>
    </row>
    <row r="47" spans="1:27" ht="11.2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1.2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11.25" customHeight="1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1.2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1.25" customHeight="1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1.25" customHeight="1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11.25" customHeight="1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9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</sheetData>
  <mergeCells count="50">
    <mergeCell ref="B1:S2"/>
    <mergeCell ref="B3:S4"/>
    <mergeCell ref="X4:Y4"/>
    <mergeCell ref="W1:Z1"/>
    <mergeCell ref="W2:Z2"/>
    <mergeCell ref="D16:E17"/>
    <mergeCell ref="F16:F17"/>
    <mergeCell ref="G16:G17"/>
    <mergeCell ref="H16:I17"/>
    <mergeCell ref="J16:J17"/>
    <mergeCell ref="K16:K17"/>
    <mergeCell ref="U16:U17"/>
    <mergeCell ref="W16:W17"/>
    <mergeCell ref="F26:F27"/>
    <mergeCell ref="G26:G27"/>
    <mergeCell ref="H26:H27"/>
    <mergeCell ref="L26:L27"/>
    <mergeCell ref="D22:E23"/>
    <mergeCell ref="F22:F23"/>
    <mergeCell ref="G22:G23"/>
    <mergeCell ref="K22:K23"/>
    <mergeCell ref="X26:X27"/>
    <mergeCell ref="Y26:Z27"/>
    <mergeCell ref="M22:M23"/>
    <mergeCell ref="N26:N27"/>
    <mergeCell ref="P26:P27"/>
    <mergeCell ref="O31:O32"/>
    <mergeCell ref="H32:I32"/>
    <mergeCell ref="T26:T27"/>
    <mergeCell ref="V26:V27"/>
    <mergeCell ref="D31:E32"/>
    <mergeCell ref="F31:F32"/>
    <mergeCell ref="G31:G32"/>
    <mergeCell ref="M31:M32"/>
    <mergeCell ref="AG35:AG36"/>
    <mergeCell ref="AI35:AI36"/>
    <mergeCell ref="AB35:AB36"/>
    <mergeCell ref="AB26:AB27"/>
    <mergeCell ref="AF26:AF27"/>
    <mergeCell ref="AH26:AH27"/>
    <mergeCell ref="F35:F36"/>
    <mergeCell ref="K35:K36"/>
    <mergeCell ref="AB42:AC42"/>
    <mergeCell ref="AB43:AC43"/>
    <mergeCell ref="V35:V36"/>
    <mergeCell ref="X35:X36"/>
    <mergeCell ref="Y35:Z36"/>
    <mergeCell ref="M35:M36"/>
    <mergeCell ref="O35:O36"/>
    <mergeCell ref="T35:T36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Z64"/>
  <sheetViews>
    <sheetView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154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155</v>
      </c>
      <c r="U2" s="7"/>
      <c r="V2" s="76"/>
      <c r="W2" s="117" t="s">
        <v>27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156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157</v>
      </c>
      <c r="U4" s="17"/>
      <c r="V4" s="78"/>
      <c r="W4" s="80">
        <v>9</v>
      </c>
      <c r="X4" s="148" t="s">
        <v>25</v>
      </c>
      <c r="Y4" s="148"/>
      <c r="Z4" s="38">
        <f>sheetqty</f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7" ht="11.25" customHeight="1">
      <c r="A9" s="3"/>
      <c r="B9" s="19"/>
      <c r="C9" s="71" t="s">
        <v>208</v>
      </c>
      <c r="D9" s="20" t="s">
        <v>203</v>
      </c>
      <c r="E9" s="35"/>
      <c r="F9" s="3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1.25" customHeight="1">
      <c r="A10" s="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1.25" customHeight="1">
      <c r="A11" s="3"/>
      <c r="B11" s="19"/>
      <c r="C11" s="19"/>
      <c r="D11" s="19" t="s">
        <v>158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1.25" customHeight="1">
      <c r="A12" s="3"/>
      <c r="B12" s="19"/>
      <c r="C12" s="19"/>
      <c r="D12" s="19" t="s">
        <v>159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1.25" customHeight="1">
      <c r="A13" s="3"/>
      <c r="B13" s="19"/>
      <c r="C13" s="19"/>
      <c r="D13" s="19" t="s">
        <v>160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1.25" customHeight="1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1.25" customHeight="1">
      <c r="A15" s="3"/>
      <c r="B15" s="19"/>
      <c r="C15" s="19"/>
      <c r="D15" s="178" t="str">
        <f>"K"&amp;AB16&amp;"(x)"</f>
        <v>Kα(x)</v>
      </c>
      <c r="E15" s="178"/>
      <c r="F15" s="177" t="s">
        <v>162</v>
      </c>
      <c r="G15" s="16" t="s">
        <v>171</v>
      </c>
      <c r="H15" s="157" t="s">
        <v>76</v>
      </c>
      <c r="I15" s="182" t="s">
        <v>172</v>
      </c>
      <c r="J15" s="182"/>
      <c r="K15" s="16" t="s">
        <v>173</v>
      </c>
      <c r="L15" s="182" t="s">
        <v>174</v>
      </c>
      <c r="M15" s="18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8" ht="11.25" customHeight="1">
      <c r="A16" s="3"/>
      <c r="B16" s="19"/>
      <c r="C16" s="19"/>
      <c r="D16" s="178"/>
      <c r="E16" s="178"/>
      <c r="F16" s="177"/>
      <c r="G16" s="83">
        <v>2</v>
      </c>
      <c r="H16" s="157"/>
      <c r="I16" s="36"/>
      <c r="J16" s="183" t="str">
        <f>"sin ( "&amp;AB16&amp;" π )"</f>
        <v>sin ( α π )</v>
      </c>
      <c r="K16" s="183"/>
      <c r="L16" s="183"/>
      <c r="M16" s="3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89" t="s">
        <v>192</v>
      </c>
    </row>
    <row r="17" spans="1:27" ht="11.25" customHeight="1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1.25" customHeight="1">
      <c r="A18" s="3"/>
      <c r="B18" s="19"/>
      <c r="C18" s="19"/>
      <c r="D18" s="19"/>
      <c r="E18" s="19"/>
      <c r="F18" s="177" t="s">
        <v>162</v>
      </c>
      <c r="G18" s="157" t="s">
        <v>115</v>
      </c>
      <c r="H18" s="157">
        <v>-1</v>
      </c>
      <c r="I18" s="157" t="s">
        <v>146</v>
      </c>
      <c r="J18" s="46" t="str">
        <f>AB16&amp;" + 1"</f>
        <v>α + 1</v>
      </c>
      <c r="K18" s="157" t="s">
        <v>88</v>
      </c>
      <c r="L18" s="157" t="s">
        <v>83</v>
      </c>
      <c r="M18" s="16" t="s">
        <v>26</v>
      </c>
      <c r="N18" s="157" t="s">
        <v>84</v>
      </c>
      <c r="O18" s="157" t="s">
        <v>90</v>
      </c>
      <c r="P18" s="157" t="s">
        <v>191</v>
      </c>
      <c r="Q18" s="157" t="s">
        <v>89</v>
      </c>
      <c r="R18" s="154" t="str">
        <f>"I"&amp;AB16&amp;"(x)"</f>
        <v>Iα(x)</v>
      </c>
      <c r="S18" s="154"/>
      <c r="T18" s="16" t="s">
        <v>197</v>
      </c>
      <c r="U18" s="16" t="str">
        <f>P18</f>
        <v>γ</v>
      </c>
      <c r="V18" s="16" t="s">
        <v>144</v>
      </c>
      <c r="W18" s="19" t="s">
        <v>196</v>
      </c>
      <c r="X18" s="19"/>
      <c r="Y18" s="19"/>
      <c r="Z18" s="19"/>
      <c r="AA18" s="19"/>
    </row>
    <row r="19" spans="1:27" ht="11.25" customHeight="1">
      <c r="A19" s="3"/>
      <c r="B19" s="19"/>
      <c r="C19" s="19"/>
      <c r="D19" s="19"/>
      <c r="E19" s="19"/>
      <c r="F19" s="177"/>
      <c r="G19" s="157"/>
      <c r="H19" s="157"/>
      <c r="I19" s="157"/>
      <c r="J19" s="19"/>
      <c r="K19" s="157"/>
      <c r="L19" s="157"/>
      <c r="M19" s="83">
        <v>2</v>
      </c>
      <c r="N19" s="157"/>
      <c r="O19" s="157"/>
      <c r="P19" s="157"/>
      <c r="Q19" s="157"/>
      <c r="R19" s="154"/>
      <c r="S19" s="154"/>
      <c r="T19" s="19"/>
      <c r="U19" s="19"/>
      <c r="V19" s="19"/>
      <c r="W19" s="19" t="s">
        <v>79</v>
      </c>
      <c r="X19" s="185">
        <v>0.57721566</v>
      </c>
      <c r="Y19" s="185"/>
      <c r="Z19" s="185"/>
      <c r="AA19" s="19"/>
    </row>
    <row r="20" spans="1:27" ht="11.25" customHeight="1">
      <c r="A20" s="3"/>
      <c r="B20" s="19"/>
      <c r="C20" s="19"/>
      <c r="D20" s="19"/>
      <c r="E20" s="19"/>
      <c r="F20" s="19"/>
      <c r="G20" s="19"/>
      <c r="H20" s="19" t="str">
        <f>AB16&amp;" - 1"</f>
        <v>α - 1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11.25" customHeight="1">
      <c r="A21" s="3"/>
      <c r="B21" s="19"/>
      <c r="C21" s="19"/>
      <c r="D21" s="19"/>
      <c r="E21" s="19"/>
      <c r="F21" s="157" t="s">
        <v>90</v>
      </c>
      <c r="G21" s="16">
        <v>1</v>
      </c>
      <c r="H21" s="156" t="s">
        <v>164</v>
      </c>
      <c r="I21" s="16" t="s">
        <v>115</v>
      </c>
      <c r="J21" s="16">
        <v>-1</v>
      </c>
      <c r="K21" s="16" t="s">
        <v>146</v>
      </c>
      <c r="L21" s="46" t="str">
        <f>G23</f>
        <v>n</v>
      </c>
      <c r="M21" s="16" t="s">
        <v>115</v>
      </c>
      <c r="N21" s="16" t="str">
        <f>AB16</f>
        <v>α</v>
      </c>
      <c r="O21" s="16" t="s">
        <v>82</v>
      </c>
      <c r="P21" s="16" t="str">
        <f>G23</f>
        <v>n</v>
      </c>
      <c r="Q21" s="16" t="s">
        <v>82</v>
      </c>
      <c r="R21" s="16">
        <v>1</v>
      </c>
      <c r="S21" s="19" t="s">
        <v>193</v>
      </c>
      <c r="T21" s="157" t="s">
        <v>115</v>
      </c>
      <c r="U21" s="16" t="str">
        <f>M18</f>
        <v>x</v>
      </c>
      <c r="V21" s="157" t="s">
        <v>146</v>
      </c>
      <c r="W21" s="46" t="str">
        <f>" 2 "&amp;G23&amp;" - "&amp;N21</f>
        <v> 2 n - α</v>
      </c>
      <c r="X21" s="19"/>
      <c r="Y21" s="19"/>
      <c r="Z21" s="19"/>
      <c r="AA21" s="19"/>
    </row>
    <row r="22" spans="1:27" ht="11.25" customHeight="1">
      <c r="A22" s="3"/>
      <c r="B22" s="19"/>
      <c r="C22" s="19"/>
      <c r="D22" s="19"/>
      <c r="E22" s="19"/>
      <c r="F22" s="157"/>
      <c r="G22" s="83">
        <v>2</v>
      </c>
      <c r="H22" s="156"/>
      <c r="I22" s="179" t="str">
        <f>G23&amp;" !"</f>
        <v>n !</v>
      </c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57"/>
      <c r="U22" s="83">
        <f>M19</f>
        <v>2</v>
      </c>
      <c r="V22" s="157"/>
      <c r="W22" s="19"/>
      <c r="X22" s="19"/>
      <c r="Y22" s="19"/>
      <c r="Z22" s="19"/>
      <c r="AA22" s="19"/>
    </row>
    <row r="23" spans="1:27" ht="11.25" customHeight="1">
      <c r="A23" s="3"/>
      <c r="B23" s="19"/>
      <c r="C23" s="19"/>
      <c r="D23" s="19"/>
      <c r="E23" s="19"/>
      <c r="F23" s="19"/>
      <c r="G23" s="29" t="s">
        <v>74</v>
      </c>
      <c r="H23" s="16" t="s">
        <v>79</v>
      </c>
      <c r="I23" s="46"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1.25" customHeight="1">
      <c r="A24" s="3"/>
      <c r="B24" s="19"/>
      <c r="C24" s="19"/>
      <c r="D24" s="19"/>
      <c r="E24" s="19"/>
      <c r="F24" s="19"/>
      <c r="G24" s="19"/>
      <c r="H24" s="84" t="s">
        <v>161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1.25" customHeight="1">
      <c r="A25" s="3"/>
      <c r="B25" s="19"/>
      <c r="C25" s="19"/>
      <c r="D25" s="19"/>
      <c r="E25" s="19"/>
      <c r="F25" s="157" t="s">
        <v>90</v>
      </c>
      <c r="G25" s="16">
        <v>1</v>
      </c>
      <c r="H25" s="156" t="s">
        <v>164</v>
      </c>
      <c r="I25" s="16" t="s">
        <v>115</v>
      </c>
      <c r="J25" s="16">
        <v>-1</v>
      </c>
      <c r="K25" s="16" t="s">
        <v>146</v>
      </c>
      <c r="L25" s="46" t="str">
        <f>N21</f>
        <v>α</v>
      </c>
      <c r="M25" s="157" t="s">
        <v>165</v>
      </c>
      <c r="N25" s="16" t="str">
        <f>U21</f>
        <v>x</v>
      </c>
      <c r="O25" s="157" t="s">
        <v>167</v>
      </c>
      <c r="P25" s="46" t="str">
        <f>"2 "&amp;G27&amp;" + "&amp;N21</f>
        <v>2 n + α</v>
      </c>
      <c r="Q25" s="19"/>
      <c r="R25" s="157" t="s">
        <v>194</v>
      </c>
      <c r="S25" s="157" t="str">
        <f>"Φ ( "&amp;G27&amp;" + "&amp;N21&amp;" )"</f>
        <v>Φ ( n + α )</v>
      </c>
      <c r="T25" s="157"/>
      <c r="U25" s="157"/>
      <c r="V25" s="157" t="s">
        <v>90</v>
      </c>
      <c r="W25" s="157" t="str">
        <f>"Φ ( "&amp;G27&amp;" )"</f>
        <v>Φ ( n )</v>
      </c>
      <c r="X25" s="157"/>
      <c r="Y25" s="157" t="s">
        <v>195</v>
      </c>
      <c r="Z25" s="19"/>
      <c r="AA25" s="19"/>
    </row>
    <row r="26" spans="1:26" ht="11.25" customHeight="1">
      <c r="A26" s="3"/>
      <c r="B26" s="19"/>
      <c r="C26" s="19"/>
      <c r="D26" s="19"/>
      <c r="E26" s="19"/>
      <c r="F26" s="157"/>
      <c r="G26" s="83">
        <v>2</v>
      </c>
      <c r="H26" s="156"/>
      <c r="I26" s="179" t="str">
        <f>G27&amp;" !"</f>
        <v>n !</v>
      </c>
      <c r="J26" s="179"/>
      <c r="K26" s="179" t="str">
        <f>"( "&amp;G27&amp;" + "&amp;N21&amp;" ) !"</f>
        <v>( n + α ) !</v>
      </c>
      <c r="L26" s="179"/>
      <c r="M26" s="157"/>
      <c r="N26" s="83">
        <f>U22</f>
        <v>2</v>
      </c>
      <c r="O26" s="157"/>
      <c r="P26" s="19"/>
      <c r="Q26" s="19"/>
      <c r="R26" s="157"/>
      <c r="S26" s="157"/>
      <c r="T26" s="157"/>
      <c r="U26" s="157"/>
      <c r="V26" s="157"/>
      <c r="W26" s="157"/>
      <c r="X26" s="157"/>
      <c r="Y26" s="157"/>
      <c r="Z26" s="19"/>
    </row>
    <row r="27" spans="1:26" ht="11.25" customHeight="1">
      <c r="A27" s="3"/>
      <c r="B27" s="19"/>
      <c r="C27" s="19"/>
      <c r="D27" s="19"/>
      <c r="E27" s="19"/>
      <c r="F27" s="19"/>
      <c r="G27" s="29" t="str">
        <f>G23</f>
        <v>n</v>
      </c>
      <c r="H27" s="16" t="s">
        <v>79</v>
      </c>
      <c r="I27" s="46">
        <f>I23</f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1.25" customHeigh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7" ht="11.25" customHeight="1">
      <c r="A29" s="3"/>
      <c r="B29" s="19"/>
      <c r="C29" s="19"/>
      <c r="D29" s="19"/>
      <c r="E29" s="19"/>
      <c r="F29" s="19" t="s">
        <v>149</v>
      </c>
      <c r="G29" s="19"/>
      <c r="H29" s="154" t="str">
        <f>W25</f>
        <v>Φ ( n )</v>
      </c>
      <c r="I29" s="154"/>
      <c r="J29" s="177" t="s">
        <v>162</v>
      </c>
      <c r="K29" s="157">
        <v>1</v>
      </c>
      <c r="L29" s="157" t="s">
        <v>90</v>
      </c>
      <c r="M29" s="16">
        <v>1</v>
      </c>
      <c r="N29" s="157" t="s">
        <v>90</v>
      </c>
      <c r="O29" s="173" t="s">
        <v>177</v>
      </c>
      <c r="P29" s="173"/>
      <c r="Q29" s="157" t="s">
        <v>90</v>
      </c>
      <c r="R29" s="16">
        <v>1</v>
      </c>
      <c r="S29" s="19"/>
      <c r="T29" s="157" t="s">
        <v>151</v>
      </c>
      <c r="U29" s="154" t="str">
        <f>"Φ ( "&amp;0&amp;" )"</f>
        <v>Φ ( 0 )</v>
      </c>
      <c r="V29" s="154"/>
      <c r="W29" s="177" t="s">
        <v>162</v>
      </c>
      <c r="X29" s="157">
        <v>0</v>
      </c>
      <c r="Y29" s="19"/>
      <c r="Z29" s="19"/>
      <c r="AA29" s="19"/>
    </row>
    <row r="30" spans="1:52" ht="11.25" customHeight="1">
      <c r="A30" s="3"/>
      <c r="B30" s="19"/>
      <c r="C30" s="19"/>
      <c r="D30" s="19"/>
      <c r="E30" s="19"/>
      <c r="F30" s="19"/>
      <c r="G30" s="19"/>
      <c r="H30" s="154"/>
      <c r="I30" s="154"/>
      <c r="J30" s="177"/>
      <c r="K30" s="157"/>
      <c r="L30" s="157"/>
      <c r="M30" s="83">
        <v>2</v>
      </c>
      <c r="N30" s="157"/>
      <c r="O30" s="173"/>
      <c r="P30" s="173"/>
      <c r="Q30" s="157"/>
      <c r="R30" s="83" t="str">
        <f>G27</f>
        <v>n</v>
      </c>
      <c r="S30" s="19"/>
      <c r="T30" s="157"/>
      <c r="U30" s="154"/>
      <c r="V30" s="154"/>
      <c r="W30" s="177"/>
      <c r="X30" s="157"/>
      <c r="Y30" s="19"/>
      <c r="Z30" s="19"/>
      <c r="AA30" s="19"/>
      <c r="AY30" s="19"/>
      <c r="AZ30" s="19"/>
    </row>
    <row r="31" spans="1:52" ht="11.25" customHeight="1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Y31" s="19"/>
      <c r="AZ31" s="19"/>
    </row>
    <row r="32" spans="1:52" ht="11.25" customHeight="1">
      <c r="A32" s="3"/>
      <c r="B32" s="19"/>
      <c r="C32" s="19"/>
      <c r="D32" s="178" t="s">
        <v>181</v>
      </c>
      <c r="E32" s="178"/>
      <c r="F32" s="177" t="s">
        <v>162</v>
      </c>
      <c r="G32" s="157" t="s">
        <v>115</v>
      </c>
      <c r="H32" s="157">
        <f>H18</f>
        <v>-1</v>
      </c>
      <c r="I32" s="157" t="s">
        <v>146</v>
      </c>
      <c r="J32" s="46">
        <v>1</v>
      </c>
      <c r="K32" s="157" t="s">
        <v>88</v>
      </c>
      <c r="L32" s="157" t="s">
        <v>83</v>
      </c>
      <c r="M32" s="16" t="str">
        <f>M18</f>
        <v>x</v>
      </c>
      <c r="N32" s="157" t="s">
        <v>84</v>
      </c>
      <c r="O32" s="157" t="s">
        <v>90</v>
      </c>
      <c r="P32" s="157" t="str">
        <f>P18</f>
        <v>γ</v>
      </c>
      <c r="Q32" s="157" t="s">
        <v>89</v>
      </c>
      <c r="R32" s="154" t="s">
        <v>198</v>
      </c>
      <c r="S32" s="154"/>
      <c r="T32" s="19"/>
      <c r="U32" s="19"/>
      <c r="V32" s="19"/>
      <c r="W32" s="19"/>
      <c r="X32" s="19"/>
      <c r="Y32" s="19"/>
      <c r="Z32" s="19"/>
      <c r="AA32" s="19"/>
      <c r="AY32" s="19"/>
      <c r="AZ32" s="19"/>
    </row>
    <row r="33" spans="1:52" ht="11.25" customHeight="1">
      <c r="A33" s="3"/>
      <c r="B33" s="19"/>
      <c r="C33" s="19"/>
      <c r="D33" s="178"/>
      <c r="E33" s="178"/>
      <c r="F33" s="177"/>
      <c r="G33" s="157"/>
      <c r="H33" s="157"/>
      <c r="I33" s="157"/>
      <c r="J33" s="19"/>
      <c r="K33" s="157"/>
      <c r="L33" s="157"/>
      <c r="M33" s="83">
        <f>M19</f>
        <v>2</v>
      </c>
      <c r="N33" s="157"/>
      <c r="O33" s="157"/>
      <c r="P33" s="157"/>
      <c r="Q33" s="157"/>
      <c r="R33" s="154"/>
      <c r="S33" s="154"/>
      <c r="T33" s="19"/>
      <c r="U33" s="19"/>
      <c r="V33" s="19"/>
      <c r="W33" s="19"/>
      <c r="X33" s="19"/>
      <c r="Y33" s="19"/>
      <c r="Z33" s="19"/>
      <c r="AA33" s="19"/>
      <c r="AY33" s="19"/>
      <c r="AZ33" s="19"/>
    </row>
    <row r="34" spans="1:52" ht="11.25" customHeight="1">
      <c r="A34" s="3"/>
      <c r="B34" s="19"/>
      <c r="C34" s="19"/>
      <c r="D34" s="19"/>
      <c r="E34" s="19"/>
      <c r="F34" s="19"/>
      <c r="G34" s="19"/>
      <c r="H34" s="84" t="s">
        <v>161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Y34" s="19"/>
      <c r="AZ34" s="19"/>
    </row>
    <row r="35" spans="1:52" ht="11.25" customHeight="1">
      <c r="A35" s="3"/>
      <c r="B35" s="19"/>
      <c r="C35" s="19"/>
      <c r="D35" s="19"/>
      <c r="E35" s="19"/>
      <c r="F35" s="157" t="s">
        <v>90</v>
      </c>
      <c r="G35" s="16">
        <v>1</v>
      </c>
      <c r="H35" s="156" t="s">
        <v>164</v>
      </c>
      <c r="I35" s="16" t="s">
        <v>115</v>
      </c>
      <c r="J35" s="16">
        <f>J25</f>
        <v>-1</v>
      </c>
      <c r="K35" s="16" t="s">
        <v>146</v>
      </c>
      <c r="L35" s="46">
        <v>0</v>
      </c>
      <c r="M35" s="157" t="s">
        <v>165</v>
      </c>
      <c r="N35" s="16" t="str">
        <f>N25</f>
        <v>x</v>
      </c>
      <c r="O35" s="157" t="s">
        <v>167</v>
      </c>
      <c r="P35" s="46" t="str">
        <f>"2 "&amp;G37</f>
        <v>2 n</v>
      </c>
      <c r="Q35" s="19"/>
      <c r="R35" s="157" t="s">
        <v>194</v>
      </c>
      <c r="S35" s="157" t="str">
        <f>"Φ ( "&amp;G37&amp;" ) !"</f>
        <v>Φ ( n ) !</v>
      </c>
      <c r="T35" s="157"/>
      <c r="U35" s="157"/>
      <c r="V35" s="157" t="s">
        <v>90</v>
      </c>
      <c r="W35" s="157" t="str">
        <f>"Φ ( "&amp;G37&amp;" ) !"</f>
        <v>Φ ( n ) !</v>
      </c>
      <c r="X35" s="157"/>
      <c r="Y35" s="157" t="s">
        <v>195</v>
      </c>
      <c r="Z35" s="19"/>
      <c r="AY35" s="19"/>
      <c r="AZ35" s="19"/>
    </row>
    <row r="36" spans="1:52" ht="11.25" customHeight="1">
      <c r="A36" s="3"/>
      <c r="B36" s="19"/>
      <c r="C36" s="19"/>
      <c r="D36" s="19"/>
      <c r="E36" s="19"/>
      <c r="F36" s="157"/>
      <c r="G36" s="83">
        <f>G26</f>
        <v>2</v>
      </c>
      <c r="H36" s="156"/>
      <c r="I36" s="179" t="str">
        <f>G37&amp;" !"</f>
        <v>n !</v>
      </c>
      <c r="J36" s="179"/>
      <c r="K36" s="179" t="str">
        <f>I36</f>
        <v>n !</v>
      </c>
      <c r="L36" s="179"/>
      <c r="M36" s="157"/>
      <c r="N36" s="83">
        <f>N26</f>
        <v>2</v>
      </c>
      <c r="O36" s="157"/>
      <c r="P36" s="19"/>
      <c r="Q36" s="19"/>
      <c r="R36" s="157"/>
      <c r="S36" s="157"/>
      <c r="T36" s="157"/>
      <c r="U36" s="157"/>
      <c r="V36" s="157"/>
      <c r="W36" s="157"/>
      <c r="X36" s="157"/>
      <c r="Y36" s="157"/>
      <c r="Z36" s="19"/>
      <c r="AA36" s="19"/>
      <c r="AY36" s="19"/>
      <c r="AZ36" s="19"/>
    </row>
    <row r="37" spans="1:52" ht="11.25" customHeight="1">
      <c r="A37" s="3"/>
      <c r="B37" s="19"/>
      <c r="C37" s="19"/>
      <c r="D37" s="19"/>
      <c r="E37" s="19"/>
      <c r="F37" s="19"/>
      <c r="G37" s="29" t="str">
        <f>G27</f>
        <v>n</v>
      </c>
      <c r="H37" s="16" t="s">
        <v>79</v>
      </c>
      <c r="I37" s="46">
        <f>I27</f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Y37" s="19"/>
      <c r="AZ37" s="19"/>
    </row>
    <row r="38" spans="1:26" ht="11.2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52" ht="11.25" customHeight="1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Y39" s="19"/>
      <c r="AZ39" s="19"/>
    </row>
    <row r="40" spans="1:52" ht="11.25" customHeight="1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Y40" s="19"/>
      <c r="AZ40" s="19"/>
    </row>
    <row r="41" spans="1:52" ht="11.25" customHeight="1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Y41" s="19"/>
      <c r="AZ41" s="19"/>
    </row>
    <row r="42" spans="1:52" ht="11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Y42" s="19"/>
      <c r="AZ42" s="19"/>
    </row>
    <row r="43" spans="1:52" ht="11.25" customHeight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Y43" s="19"/>
      <c r="AZ43" s="19"/>
    </row>
    <row r="44" spans="1:52" ht="11.25" customHeight="1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Y44" s="19"/>
      <c r="AZ44" s="19"/>
    </row>
    <row r="45" spans="1:52" ht="11.25" customHeight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B45" s="19"/>
      <c r="AC45" s="19"/>
      <c r="AD45" s="19"/>
      <c r="AE45" s="19"/>
      <c r="AF45" s="19"/>
      <c r="AG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30" ht="11.25" customHeight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D46" s="19"/>
    </row>
    <row r="47" spans="1:27" ht="11.2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1.2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11.25" customHeight="1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1.2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1.25" customHeight="1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1.25" customHeight="1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39" ht="11.25" customHeight="1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80" t="str">
        <f>G37</f>
        <v>n</v>
      </c>
      <c r="AC53" s="180"/>
      <c r="AD53" s="19" t="str">
        <f>M32</f>
        <v>x</v>
      </c>
      <c r="AE53" s="20">
        <v>1E-11</v>
      </c>
      <c r="AF53" s="86">
        <v>0.25</v>
      </c>
      <c r="AG53" s="87">
        <v>0.5</v>
      </c>
      <c r="AH53" s="86">
        <v>0.75</v>
      </c>
      <c r="AI53" s="87">
        <v>1</v>
      </c>
      <c r="AJ53" s="86">
        <v>1.25</v>
      </c>
      <c r="AK53" s="87">
        <v>1.5</v>
      </c>
      <c r="AL53" s="86">
        <v>1.75</v>
      </c>
      <c r="AM53" s="87">
        <v>2</v>
      </c>
    </row>
    <row r="54" spans="1:39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81">
        <v>10</v>
      </c>
      <c r="AC54" s="181"/>
      <c r="AD54" s="2" t="s">
        <v>199</v>
      </c>
      <c r="AE54" s="19">
        <f aca="true" t="shared" si="0" ref="AE54:AM54">Bessel_InJ(AE53,$AB$54,11)</f>
        <v>100000000000</v>
      </c>
      <c r="AF54" s="19">
        <f t="shared" si="0"/>
        <v>3.7470259738232206</v>
      </c>
      <c r="AG54" s="88">
        <f t="shared" si="0"/>
        <v>1.6564411187392236</v>
      </c>
      <c r="AH54" s="19">
        <f t="shared" si="0"/>
        <v>0.9495804649917609</v>
      </c>
      <c r="AI54" s="88">
        <f t="shared" si="0"/>
        <v>0.6019072274270887</v>
      </c>
      <c r="AJ54" s="19">
        <f t="shared" si="0"/>
        <v>0.4021240760821587</v>
      </c>
      <c r="AK54" s="88">
        <f t="shared" si="0"/>
        <v>0.2773877956451737</v>
      </c>
      <c r="AL54" s="19">
        <f t="shared" si="0"/>
        <v>0.1954774473203349</v>
      </c>
      <c r="AM54" s="88">
        <f t="shared" si="0"/>
        <v>0.1398658740199641</v>
      </c>
    </row>
    <row r="55" spans="1:39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 t="str">
        <f>D32</f>
        <v>K0(x)</v>
      </c>
      <c r="AE55" s="19">
        <f>Bessel_InJ(AE53,$AB$54,10)</f>
        <v>25.444367543494447</v>
      </c>
      <c r="AF55" s="19">
        <f>Bessel_InJ(AF53,$AB$54,10)</f>
        <v>1.5415067562267215</v>
      </c>
      <c r="AG55" s="88">
        <f aca="true" t="shared" si="1" ref="AG55:AL55">Bessel_InJ(AG53,$AB$54,10)</f>
        <v>0.9244190764403646</v>
      </c>
      <c r="AH55" s="19">
        <f t="shared" si="1"/>
        <v>0.6105824277318894</v>
      </c>
      <c r="AI55" s="88">
        <f>Bessel_InJ(AI53,$AB$54,10)</f>
        <v>0.42102444444637177</v>
      </c>
      <c r="AJ55" s="19">
        <f>Bessel_InJ(AJ53,$AB$54,10)</f>
        <v>0.2976030960955954</v>
      </c>
      <c r="AK55" s="88">
        <f t="shared" si="1"/>
        <v>0.2138055707189936</v>
      </c>
      <c r="AL55" s="19">
        <f t="shared" si="1"/>
        <v>0.15537982182329002</v>
      </c>
      <c r="AM55" s="88">
        <f>Bessel_InJ(AM53,$AB$54,10)</f>
        <v>0.11389388392299415</v>
      </c>
    </row>
    <row r="56" spans="1:29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</sheetData>
  <mergeCells count="75">
    <mergeCell ref="R32:S33"/>
    <mergeCell ref="F35:F36"/>
    <mergeCell ref="O32:O33"/>
    <mergeCell ref="N32:N33"/>
    <mergeCell ref="H35:H36"/>
    <mergeCell ref="M35:M36"/>
    <mergeCell ref="O35:O36"/>
    <mergeCell ref="R35:R36"/>
    <mergeCell ref="I36:J36"/>
    <mergeCell ref="K36:L36"/>
    <mergeCell ref="B1:S2"/>
    <mergeCell ref="B3:S4"/>
    <mergeCell ref="X4:Y4"/>
    <mergeCell ref="W1:Z1"/>
    <mergeCell ref="W2:Z2"/>
    <mergeCell ref="P32:P33"/>
    <mergeCell ref="Q32:Q33"/>
    <mergeCell ref="D15:E16"/>
    <mergeCell ref="F15:F16"/>
    <mergeCell ref="I15:J15"/>
    <mergeCell ref="L15:M15"/>
    <mergeCell ref="J16:L16"/>
    <mergeCell ref="H15:H16"/>
    <mergeCell ref="N29:N30"/>
    <mergeCell ref="J29:J30"/>
    <mergeCell ref="K29:K30"/>
    <mergeCell ref="L29:L30"/>
    <mergeCell ref="O29:P30"/>
    <mergeCell ref="Q29:Q30"/>
    <mergeCell ref="D32:E33"/>
    <mergeCell ref="F32:F33"/>
    <mergeCell ref="G32:G33"/>
    <mergeCell ref="H32:H33"/>
    <mergeCell ref="I32:I33"/>
    <mergeCell ref="K32:K33"/>
    <mergeCell ref="L32:L33"/>
    <mergeCell ref="H29:I30"/>
    <mergeCell ref="Y25:Y26"/>
    <mergeCell ref="V25:V26"/>
    <mergeCell ref="W25:X26"/>
    <mergeCell ref="X19:Z19"/>
    <mergeCell ref="T21:T22"/>
    <mergeCell ref="V21:V22"/>
    <mergeCell ref="F25:F26"/>
    <mergeCell ref="H25:H26"/>
    <mergeCell ref="K26:L26"/>
    <mergeCell ref="I26:J26"/>
    <mergeCell ref="M25:M26"/>
    <mergeCell ref="O25:O26"/>
    <mergeCell ref="R25:R26"/>
    <mergeCell ref="S25:U26"/>
    <mergeCell ref="AB53:AC53"/>
    <mergeCell ref="AB54:AC54"/>
    <mergeCell ref="U29:V30"/>
    <mergeCell ref="T29:T30"/>
    <mergeCell ref="W29:W30"/>
    <mergeCell ref="X29:X30"/>
    <mergeCell ref="S35:U36"/>
    <mergeCell ref="V35:V36"/>
    <mergeCell ref="W35:X36"/>
    <mergeCell ref="Y35:Y36"/>
    <mergeCell ref="F18:F19"/>
    <mergeCell ref="G18:G19"/>
    <mergeCell ref="H18:H19"/>
    <mergeCell ref="I18:I19"/>
    <mergeCell ref="Q18:Q19"/>
    <mergeCell ref="R18:S19"/>
    <mergeCell ref="F21:F22"/>
    <mergeCell ref="H21:H22"/>
    <mergeCell ref="I22:S22"/>
    <mergeCell ref="N18:N19"/>
    <mergeCell ref="K18:K19"/>
    <mergeCell ref="L18:L19"/>
    <mergeCell ref="O18:O19"/>
    <mergeCell ref="P18:P19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B64"/>
  <sheetViews>
    <sheetView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154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155</v>
      </c>
      <c r="U2" s="7"/>
      <c r="V2" s="76"/>
      <c r="W2" s="117" t="s">
        <v>27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156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157</v>
      </c>
      <c r="U4" s="17"/>
      <c r="V4" s="78"/>
      <c r="W4" s="80">
        <v>10</v>
      </c>
      <c r="X4" s="148" t="s">
        <v>25</v>
      </c>
      <c r="Y4" s="148"/>
      <c r="Z4" s="38">
        <f>sheetqty</f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71" t="s">
        <v>341</v>
      </c>
      <c r="D7" s="20" t="s">
        <v>270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1.25" customHeight="1">
      <c r="A9" s="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 customHeight="1">
      <c r="A10" s="3"/>
      <c r="B10" s="19"/>
      <c r="C10" s="19"/>
      <c r="D10" s="81" t="s">
        <v>278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1.25" customHeight="1">
      <c r="A11" s="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1.25" customHeight="1">
      <c r="A12" s="3"/>
      <c r="B12" s="19"/>
      <c r="C12" s="19"/>
      <c r="D12" s="16" t="s">
        <v>279</v>
      </c>
      <c r="E12" s="16" t="s">
        <v>282</v>
      </c>
      <c r="F12" s="16" t="s">
        <v>90</v>
      </c>
      <c r="G12" s="16" t="s">
        <v>284</v>
      </c>
      <c r="H12" s="16" t="s">
        <v>283</v>
      </c>
      <c r="I12" s="16" t="s">
        <v>275</v>
      </c>
      <c r="J12" s="16" t="s">
        <v>287</v>
      </c>
      <c r="K12" s="16" t="s">
        <v>290</v>
      </c>
      <c r="L12" s="16" t="s">
        <v>79</v>
      </c>
      <c r="M12" s="16" t="s">
        <v>291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1.25" customHeight="1">
      <c r="A13" s="3"/>
      <c r="B13" s="19"/>
      <c r="C13" s="19"/>
      <c r="D13" s="16" t="s">
        <v>280</v>
      </c>
      <c r="E13" s="16" t="str">
        <f>E12</f>
        <v>x1</v>
      </c>
      <c r="F13" s="16" t="str">
        <f>F12</f>
        <v>+</v>
      </c>
      <c r="G13" s="16" t="s">
        <v>285</v>
      </c>
      <c r="H13" s="16" t="str">
        <f>H12</f>
        <v>x2</v>
      </c>
      <c r="I13" s="16" t="str">
        <f>I12</f>
        <v>…</v>
      </c>
      <c r="J13" s="16" t="s">
        <v>288</v>
      </c>
      <c r="K13" s="16" t="str">
        <f>K12</f>
        <v>xn</v>
      </c>
      <c r="L13" s="16" t="str">
        <f>L12</f>
        <v>=</v>
      </c>
      <c r="M13" s="16" t="s">
        <v>292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1.25" customHeight="1">
      <c r="A14" s="3"/>
      <c r="B14" s="19"/>
      <c r="C14" s="19"/>
      <c r="D14" s="16" t="s">
        <v>281</v>
      </c>
      <c r="E14" s="16" t="str">
        <f>E12</f>
        <v>x1</v>
      </c>
      <c r="F14" s="16" t="str">
        <f>F12</f>
        <v>+</v>
      </c>
      <c r="G14" s="16" t="s">
        <v>286</v>
      </c>
      <c r="H14" s="16" t="str">
        <f>H12</f>
        <v>x2</v>
      </c>
      <c r="I14" s="16" t="str">
        <f>I12</f>
        <v>…</v>
      </c>
      <c r="J14" s="16" t="s">
        <v>289</v>
      </c>
      <c r="K14" s="16" t="str">
        <f>K12</f>
        <v>xn</v>
      </c>
      <c r="L14" s="16" t="str">
        <f>L12</f>
        <v>=</v>
      </c>
      <c r="M14" s="16" t="s">
        <v>293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1.25" customHeight="1">
      <c r="A15" s="3"/>
      <c r="B15" s="19"/>
      <c r="C15" s="19"/>
      <c r="D15" s="188" t="str">
        <f>AB30</f>
        <v>↓</v>
      </c>
      <c r="E15" s="188"/>
      <c r="F15" s="19"/>
      <c r="G15" s="188" t="str">
        <f>D15</f>
        <v>↓</v>
      </c>
      <c r="H15" s="188"/>
      <c r="I15" s="19"/>
      <c r="J15" s="188" t="str">
        <f>G15</f>
        <v>↓</v>
      </c>
      <c r="K15" s="188"/>
      <c r="L15" s="188" t="str">
        <f>J15</f>
        <v>↓</v>
      </c>
      <c r="M15" s="18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1.25" customHeight="1">
      <c r="A16" s="3"/>
      <c r="B16" s="19"/>
      <c r="C16" s="19"/>
      <c r="D16" s="16" t="s">
        <v>323</v>
      </c>
      <c r="E16" s="16" t="str">
        <f>E12</f>
        <v>x1</v>
      </c>
      <c r="F16" s="16" t="str">
        <f>F12</f>
        <v>+</v>
      </c>
      <c r="G16" s="16" t="s">
        <v>324</v>
      </c>
      <c r="H16" s="16" t="str">
        <f>H12</f>
        <v>x2</v>
      </c>
      <c r="I16" s="16" t="str">
        <f>I12</f>
        <v>…</v>
      </c>
      <c r="J16" s="16" t="s">
        <v>325</v>
      </c>
      <c r="K16" s="16" t="str">
        <f>K12</f>
        <v>xn</v>
      </c>
      <c r="L16" s="16" t="str">
        <f>L12</f>
        <v>=</v>
      </c>
      <c r="M16" s="16" t="s">
        <v>326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1.25" customHeight="1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1.25" customHeight="1">
      <c r="A18" s="3"/>
      <c r="B18" s="19"/>
      <c r="C18" s="19"/>
      <c r="D18" s="19" t="s">
        <v>149</v>
      </c>
      <c r="E18" s="19"/>
      <c r="F18" s="35" t="s">
        <v>298</v>
      </c>
      <c r="G18" s="19"/>
      <c r="H18" s="19" t="s">
        <v>331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1.25" customHeight="1">
      <c r="A19" s="3"/>
      <c r="B19" s="19"/>
      <c r="C19" s="19"/>
      <c r="D19" s="19"/>
      <c r="E19" s="19"/>
      <c r="F19" s="35" t="s">
        <v>294</v>
      </c>
      <c r="G19" s="19"/>
      <c r="H19" s="19" t="s">
        <v>295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1.25" customHeight="1">
      <c r="A20" s="3"/>
      <c r="B20" s="19"/>
      <c r="C20" s="19"/>
      <c r="D20" s="19"/>
      <c r="E20" s="19"/>
      <c r="F20" s="35" t="s">
        <v>296</v>
      </c>
      <c r="G20" s="19"/>
      <c r="H20" s="19" t="s">
        <v>297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1.25" customHeight="1">
      <c r="A21" s="3"/>
      <c r="B21" s="19"/>
      <c r="C21" s="19"/>
      <c r="D21" s="19"/>
      <c r="E21" s="19"/>
      <c r="F21" s="35" t="s">
        <v>74</v>
      </c>
      <c r="G21" s="19"/>
      <c r="H21" s="19" t="s">
        <v>299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1.25" customHeight="1">
      <c r="A22" s="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1.25" customHeight="1">
      <c r="A23" s="3"/>
      <c r="B23" s="19"/>
      <c r="C23" s="19"/>
      <c r="D23" s="81" t="s">
        <v>300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1.25" customHeight="1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1.25" customHeight="1">
      <c r="A25" s="3"/>
      <c r="B25" s="19"/>
      <c r="C25" s="19"/>
      <c r="D25" s="19" t="s">
        <v>301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1.25" customHeight="1">
      <c r="A26" s="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1.25" customHeight="1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6" t="str">
        <f>G29</f>
        <v>a</v>
      </c>
      <c r="M27" s="16">
        <v>1</v>
      </c>
      <c r="N27" s="16">
        <v>1</v>
      </c>
      <c r="O27" s="19" t="s">
        <v>327</v>
      </c>
      <c r="P27" s="16" t="str">
        <f aca="true" t="shared" si="0" ref="P27:Q29">L27</f>
        <v>a</v>
      </c>
      <c r="Q27" s="16">
        <f t="shared" si="0"/>
        <v>1</v>
      </c>
      <c r="R27" s="16">
        <v>2</v>
      </c>
      <c r="S27" s="16" t="s">
        <v>275</v>
      </c>
      <c r="T27" s="16" t="str">
        <f aca="true" t="shared" si="1" ref="T27:U29">L27</f>
        <v>a</v>
      </c>
      <c r="U27" s="16">
        <f t="shared" si="1"/>
        <v>1</v>
      </c>
      <c r="V27" s="16" t="s">
        <v>74</v>
      </c>
      <c r="W27" s="19"/>
      <c r="X27" s="19"/>
      <c r="Y27" s="19"/>
      <c r="Z27" s="19"/>
    </row>
    <row r="28" spans="1:26" ht="11.25" customHeigh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 t="str">
        <f>L27</f>
        <v>a</v>
      </c>
      <c r="M28" s="16">
        <v>2</v>
      </c>
      <c r="N28" s="16">
        <f>N27</f>
        <v>1</v>
      </c>
      <c r="O28" s="19" t="s">
        <v>327</v>
      </c>
      <c r="P28" s="16" t="str">
        <f t="shared" si="0"/>
        <v>a</v>
      </c>
      <c r="Q28" s="16">
        <f t="shared" si="0"/>
        <v>2</v>
      </c>
      <c r="R28" s="16">
        <f>R27</f>
        <v>2</v>
      </c>
      <c r="S28" s="16" t="str">
        <f>S27</f>
        <v>…</v>
      </c>
      <c r="T28" s="16" t="str">
        <f t="shared" si="1"/>
        <v>a</v>
      </c>
      <c r="U28" s="16">
        <f t="shared" si="1"/>
        <v>2</v>
      </c>
      <c r="V28" s="16" t="str">
        <f>V27</f>
        <v>n</v>
      </c>
      <c r="W28" s="19"/>
      <c r="X28" s="19"/>
      <c r="Y28" s="19"/>
      <c r="Z28" s="19"/>
    </row>
    <row r="29" spans="1:26" ht="11.25" customHeight="1">
      <c r="A29" s="3"/>
      <c r="B29" s="19"/>
      <c r="C29" s="19"/>
      <c r="D29" s="35" t="s">
        <v>271</v>
      </c>
      <c r="E29" s="19" t="s">
        <v>79</v>
      </c>
      <c r="F29" s="16" t="s">
        <v>115</v>
      </c>
      <c r="G29" s="16" t="s">
        <v>272</v>
      </c>
      <c r="H29" s="16" t="s">
        <v>273</v>
      </c>
      <c r="I29" s="16" t="s">
        <v>274</v>
      </c>
      <c r="J29" s="16" t="s">
        <v>84</v>
      </c>
      <c r="K29" s="16" t="s">
        <v>79</v>
      </c>
      <c r="L29" s="16" t="str">
        <f>L27</f>
        <v>a</v>
      </c>
      <c r="M29" s="16">
        <v>3</v>
      </c>
      <c r="N29" s="16">
        <f>N27</f>
        <v>1</v>
      </c>
      <c r="O29" s="19" t="s">
        <v>327</v>
      </c>
      <c r="P29" s="16" t="str">
        <f t="shared" si="0"/>
        <v>a</v>
      </c>
      <c r="Q29" s="16">
        <f t="shared" si="0"/>
        <v>3</v>
      </c>
      <c r="R29" s="16">
        <f>R27</f>
        <v>2</v>
      </c>
      <c r="S29" s="16" t="str">
        <f>S27</f>
        <v>…</v>
      </c>
      <c r="T29" s="16" t="str">
        <f t="shared" si="1"/>
        <v>a</v>
      </c>
      <c r="U29" s="16">
        <f t="shared" si="1"/>
        <v>3</v>
      </c>
      <c r="V29" s="16" t="str">
        <f>V27</f>
        <v>n</v>
      </c>
      <c r="W29" s="19"/>
      <c r="X29" s="19"/>
      <c r="Y29" s="19"/>
      <c r="Z29" s="19"/>
    </row>
    <row r="30" spans="1:28" ht="11.25" customHeight="1">
      <c r="A30" s="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88" t="str">
        <f>AB30</f>
        <v>↓</v>
      </c>
      <c r="M30" s="188"/>
      <c r="N30" s="188"/>
      <c r="O30" s="19" t="s">
        <v>327</v>
      </c>
      <c r="P30" s="188" t="str">
        <f>L30</f>
        <v>↓</v>
      </c>
      <c r="Q30" s="188"/>
      <c r="R30" s="188"/>
      <c r="S30" s="19"/>
      <c r="T30" s="188" t="str">
        <f>P30</f>
        <v>↓</v>
      </c>
      <c r="U30" s="188"/>
      <c r="V30" s="188"/>
      <c r="W30" s="19"/>
      <c r="X30" s="19"/>
      <c r="Y30" s="19"/>
      <c r="Z30" s="19"/>
      <c r="AB30" s="95" t="s">
        <v>302</v>
      </c>
    </row>
    <row r="31" spans="1:26" ht="11.25" customHeight="1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6" t="str">
        <f>L27</f>
        <v>a</v>
      </c>
      <c r="M31" s="16" t="s">
        <v>85</v>
      </c>
      <c r="N31" s="16">
        <f>N27</f>
        <v>1</v>
      </c>
      <c r="O31" s="19" t="s">
        <v>327</v>
      </c>
      <c r="P31" s="16" t="str">
        <f>L31</f>
        <v>a</v>
      </c>
      <c r="Q31" s="16" t="str">
        <f>M31</f>
        <v>m</v>
      </c>
      <c r="R31" s="16">
        <f>R27</f>
        <v>2</v>
      </c>
      <c r="S31" s="16" t="str">
        <f>S27</f>
        <v>…</v>
      </c>
      <c r="T31" s="16" t="str">
        <f>L31</f>
        <v>a</v>
      </c>
      <c r="U31" s="16" t="str">
        <f>M31</f>
        <v>m</v>
      </c>
      <c r="V31" s="16" t="str">
        <f>V27</f>
        <v>n</v>
      </c>
      <c r="W31" s="19"/>
      <c r="X31" s="19"/>
      <c r="Y31" s="19"/>
      <c r="Z31" s="19"/>
    </row>
    <row r="32" spans="1:26" ht="11.25" customHeight="1">
      <c r="A32" s="3"/>
      <c r="B32" s="19"/>
      <c r="C32" s="19"/>
      <c r="D32" s="19"/>
      <c r="E32" s="19" t="s">
        <v>149</v>
      </c>
      <c r="F32" s="19"/>
      <c r="G32" s="35" t="s">
        <v>303</v>
      </c>
      <c r="H32" s="19"/>
      <c r="I32" s="19" t="s">
        <v>304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3"/>
      <c r="B33" s="19"/>
      <c r="C33" s="19"/>
      <c r="D33" s="19"/>
      <c r="E33" s="19"/>
      <c r="F33" s="19"/>
      <c r="G33" s="35" t="str">
        <f>H29</f>
        <v>i</v>
      </c>
      <c r="H33" s="19"/>
      <c r="I33" s="19" t="s">
        <v>277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1.25" customHeight="1">
      <c r="A34" s="3"/>
      <c r="B34" s="19"/>
      <c r="C34" s="19"/>
      <c r="D34" s="19"/>
      <c r="E34" s="19"/>
      <c r="F34" s="19"/>
      <c r="G34" s="35" t="str">
        <f>I29</f>
        <v>j</v>
      </c>
      <c r="H34" s="19"/>
      <c r="I34" s="19" t="s">
        <v>276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1.25" customHeight="1">
      <c r="A35" s="3"/>
      <c r="B35" s="19"/>
      <c r="C35" s="19"/>
      <c r="D35" s="19"/>
      <c r="E35" s="19"/>
      <c r="F35" s="19"/>
      <c r="G35" s="35" t="str">
        <f>M31</f>
        <v>m</v>
      </c>
      <c r="H35" s="19"/>
      <c r="I35" s="19" t="s">
        <v>305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1.25" customHeight="1">
      <c r="A36" s="3"/>
      <c r="B36" s="19"/>
      <c r="C36" s="19"/>
      <c r="D36" s="19"/>
      <c r="E36" s="19"/>
      <c r="F36" s="19"/>
      <c r="G36" s="35" t="str">
        <f>V27</f>
        <v>n</v>
      </c>
      <c r="H36" s="19"/>
      <c r="I36" s="19" t="s">
        <v>306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1.25" customHeight="1">
      <c r="A38" s="3"/>
      <c r="B38" s="19"/>
      <c r="C38" s="19"/>
      <c r="D38" s="19" t="str">
        <f>"The size of a matrix is denoted as "&amp;G35&amp;" x "&amp;G36&amp;"."</f>
        <v>The size of a matrix is denoted as m x n.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1.25" customHeight="1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1.25" customHeight="1">
      <c r="A41" s="3"/>
      <c r="B41" s="19"/>
      <c r="C41" s="19"/>
      <c r="D41" s="81" t="s">
        <v>330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1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1.25" customHeight="1">
      <c r="A43" s="3"/>
      <c r="B43" s="19"/>
      <c r="C43" s="19"/>
      <c r="D43" s="19" t="s">
        <v>332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1.25" customHeight="1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3"/>
      <c r="B45" s="19"/>
      <c r="C45" s="19"/>
      <c r="D45" s="19"/>
      <c r="E45" s="19"/>
      <c r="F45" s="19"/>
      <c r="G45" s="16" t="str">
        <f>L27&amp;M27&amp;N27</f>
        <v>a11</v>
      </c>
      <c r="H45" s="19" t="s">
        <v>327</v>
      </c>
      <c r="I45" s="16" t="str">
        <f>P27&amp;Q27&amp;R27</f>
        <v>a12</v>
      </c>
      <c r="J45" s="16" t="s">
        <v>275</v>
      </c>
      <c r="K45" s="16" t="str">
        <f>T27&amp;U27&amp;V27</f>
        <v>a1n</v>
      </c>
      <c r="L45" s="19"/>
      <c r="M45" s="16" t="str">
        <f>E12</f>
        <v>x1</v>
      </c>
      <c r="N45" s="19"/>
      <c r="O45" s="16" t="str">
        <f>M12</f>
        <v>b1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3"/>
      <c r="B46" s="19"/>
      <c r="C46" s="19"/>
      <c r="D46" s="19"/>
      <c r="E46" s="19"/>
      <c r="F46" s="19"/>
      <c r="G46" s="16" t="str">
        <f>L28&amp;M28&amp;N28</f>
        <v>a21</v>
      </c>
      <c r="H46" s="19" t="s">
        <v>327</v>
      </c>
      <c r="I46" s="16" t="str">
        <f>P28&amp;Q28&amp;R28</f>
        <v>a22</v>
      </c>
      <c r="J46" s="16" t="str">
        <f>J45</f>
        <v>…</v>
      </c>
      <c r="K46" s="16" t="str">
        <f>T28&amp;U28&amp;V28</f>
        <v>a2n</v>
      </c>
      <c r="L46" s="19"/>
      <c r="M46" s="16" t="str">
        <f>H12</f>
        <v>x2</v>
      </c>
      <c r="N46" s="19"/>
      <c r="O46" s="16" t="str">
        <f>M13</f>
        <v>b2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3"/>
      <c r="B47" s="19"/>
      <c r="C47" s="19"/>
      <c r="D47" s="47" t="str">
        <f>D29</f>
        <v>A</v>
      </c>
      <c r="E47" s="47" t="s">
        <v>322</v>
      </c>
      <c r="F47" s="19" t="s">
        <v>79</v>
      </c>
      <c r="G47" s="16" t="str">
        <f>L29&amp;M29&amp;N29</f>
        <v>a31</v>
      </c>
      <c r="H47" s="19" t="s">
        <v>327</v>
      </c>
      <c r="I47" s="16" t="str">
        <f>P29&amp;Q29&amp;R29</f>
        <v>a32</v>
      </c>
      <c r="J47" s="16" t="str">
        <f>J45</f>
        <v>…</v>
      </c>
      <c r="K47" s="16" t="str">
        <f>T29&amp;U29&amp;V29</f>
        <v>a3n</v>
      </c>
      <c r="L47" s="19"/>
      <c r="M47" s="16" t="s">
        <v>328</v>
      </c>
      <c r="N47" s="16" t="s">
        <v>79</v>
      </c>
      <c r="O47" s="16" t="str">
        <f>M14</f>
        <v>b3</v>
      </c>
      <c r="P47" s="16" t="s">
        <v>79</v>
      </c>
      <c r="Q47" s="47" t="s">
        <v>329</v>
      </c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3"/>
      <c r="B48" s="19"/>
      <c r="C48" s="19"/>
      <c r="D48" s="19"/>
      <c r="E48" s="19"/>
      <c r="F48" s="19"/>
      <c r="G48" s="16" t="str">
        <f>AB30</f>
        <v>↓</v>
      </c>
      <c r="H48" s="19"/>
      <c r="I48" s="16" t="str">
        <f>G48</f>
        <v>↓</v>
      </c>
      <c r="J48" s="19"/>
      <c r="K48" s="16" t="str">
        <f>I48</f>
        <v>↓</v>
      </c>
      <c r="L48" s="19"/>
      <c r="M48" s="16" t="str">
        <f>AB30</f>
        <v>↓</v>
      </c>
      <c r="N48" s="19"/>
      <c r="O48" s="16" t="str">
        <f>AB30</f>
        <v>↓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3"/>
      <c r="B49" s="19"/>
      <c r="C49" s="19"/>
      <c r="D49" s="19"/>
      <c r="E49" s="19"/>
      <c r="F49" s="19"/>
      <c r="G49" s="16" t="str">
        <f>L31&amp;M31&amp;N31</f>
        <v>am1</v>
      </c>
      <c r="H49" s="19" t="s">
        <v>327</v>
      </c>
      <c r="I49" s="16" t="str">
        <f>P31&amp;Q31&amp;R31</f>
        <v>am2</v>
      </c>
      <c r="J49" s="16" t="str">
        <f>J45</f>
        <v>…</v>
      </c>
      <c r="K49" s="16" t="str">
        <f>T31&amp;U31&amp;V31</f>
        <v>amn</v>
      </c>
      <c r="L49" s="19"/>
      <c r="M49" s="16" t="str">
        <f>K16</f>
        <v>xn</v>
      </c>
      <c r="N49" s="19"/>
      <c r="O49" s="16" t="str">
        <f>M16</f>
        <v>bm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3"/>
      <c r="B51" s="19"/>
      <c r="C51" s="19"/>
      <c r="D51" s="19"/>
      <c r="E51" s="19"/>
      <c r="F51" s="19" t="s">
        <v>149</v>
      </c>
      <c r="G51" s="19"/>
      <c r="H51" s="35" t="str">
        <f>E47</f>
        <v>X</v>
      </c>
      <c r="I51" s="19"/>
      <c r="J51" s="19" t="str">
        <f>V27&amp;"-dimensional Vector"</f>
        <v>n-dimensional Vector</v>
      </c>
      <c r="K51" s="19"/>
      <c r="L51" s="19"/>
      <c r="M51" s="19"/>
      <c r="N51" s="19"/>
      <c r="O51" s="19" t="s">
        <v>79</v>
      </c>
      <c r="P51" s="16" t="s">
        <v>115</v>
      </c>
      <c r="Q51" s="16" t="str">
        <f>M45</f>
        <v>x1</v>
      </c>
      <c r="R51" s="16" t="s">
        <v>327</v>
      </c>
      <c r="S51" s="16" t="str">
        <f>M46</f>
        <v>x2</v>
      </c>
      <c r="T51" s="16" t="s">
        <v>327</v>
      </c>
      <c r="U51" s="16" t="str">
        <f>M47</f>
        <v>x3</v>
      </c>
      <c r="V51" s="16" t="s">
        <v>275</v>
      </c>
      <c r="W51" s="16" t="str">
        <f>M49</f>
        <v>xn</v>
      </c>
      <c r="X51" s="16" t="s">
        <v>84</v>
      </c>
      <c r="Y51" s="19"/>
      <c r="Z51" s="19"/>
    </row>
    <row r="52" spans="1:26" ht="11.25" customHeight="1">
      <c r="A52" s="3"/>
      <c r="B52" s="19"/>
      <c r="C52" s="19"/>
      <c r="D52" s="19"/>
      <c r="E52" s="19"/>
      <c r="F52" s="19"/>
      <c r="G52" s="19"/>
      <c r="H52" s="49" t="str">
        <f>Q47</f>
        <v>B</v>
      </c>
      <c r="I52" s="19"/>
      <c r="J52" s="19" t="str">
        <f>M31&amp;"-dimensional Vector"</f>
        <v>m-dimensional Vector</v>
      </c>
      <c r="K52" s="19"/>
      <c r="L52" s="19"/>
      <c r="M52" s="19"/>
      <c r="N52" s="19"/>
      <c r="O52" s="19" t="s">
        <v>79</v>
      </c>
      <c r="P52" s="16" t="s">
        <v>115</v>
      </c>
      <c r="Q52" s="16" t="str">
        <f>O45</f>
        <v>b1</v>
      </c>
      <c r="R52" s="16" t="s">
        <v>327</v>
      </c>
      <c r="S52" s="16" t="str">
        <f>O46</f>
        <v>b2</v>
      </c>
      <c r="T52" s="16" t="s">
        <v>327</v>
      </c>
      <c r="U52" s="16" t="str">
        <f>O47</f>
        <v>b3</v>
      </c>
      <c r="V52" s="16" t="s">
        <v>275</v>
      </c>
      <c r="W52" s="16" t="str">
        <f>O49</f>
        <v>bm</v>
      </c>
      <c r="X52" s="16" t="s">
        <v>84</v>
      </c>
      <c r="Y52" s="19"/>
      <c r="Z52" s="19"/>
    </row>
    <row r="53" spans="1:26" ht="11.25" customHeight="1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</sheetData>
  <mergeCells count="12">
    <mergeCell ref="P30:R30"/>
    <mergeCell ref="T30:V30"/>
    <mergeCell ref="L15:M15"/>
    <mergeCell ref="D15:E15"/>
    <mergeCell ref="G15:H15"/>
    <mergeCell ref="J15:K15"/>
    <mergeCell ref="L30:N30"/>
    <mergeCell ref="B1:S2"/>
    <mergeCell ref="B3:S4"/>
    <mergeCell ref="X4:Y4"/>
    <mergeCell ref="W1:Z1"/>
    <mergeCell ref="W2:Z2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O67"/>
  <sheetViews>
    <sheetView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219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220</v>
      </c>
      <c r="U2" s="7"/>
      <c r="V2" s="76"/>
      <c r="W2" s="117" t="s">
        <v>221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222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223</v>
      </c>
      <c r="U4" s="17"/>
      <c r="V4" s="78"/>
      <c r="W4" s="80">
        <v>11</v>
      </c>
      <c r="X4" s="148" t="s">
        <v>224</v>
      </c>
      <c r="Y4" s="148"/>
      <c r="Z4" s="38">
        <f>sheetqty</f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71" t="s">
        <v>342</v>
      </c>
      <c r="D7" s="20" t="s">
        <v>225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1.25" customHeight="1">
      <c r="A9" s="3"/>
      <c r="B9" s="19"/>
      <c r="C9" s="19"/>
      <c r="D9" s="91" t="s">
        <v>251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 customHeight="1">
      <c r="A10" s="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1.25" customHeight="1">
      <c r="A11" s="3"/>
      <c r="B11" s="19"/>
      <c r="C11" s="19"/>
      <c r="D11" s="81" t="s">
        <v>252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1.25" customHeight="1">
      <c r="A12" s="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1.25" customHeight="1">
      <c r="A13" s="3"/>
      <c r="B13" s="19"/>
      <c r="C13" s="19"/>
      <c r="D13" s="173" t="str">
        <f>"f("&amp;H13&amp;")"</f>
        <v>f(x)</v>
      </c>
      <c r="E13" s="157" t="s">
        <v>73</v>
      </c>
      <c r="F13" s="157" t="str">
        <f>"f("&amp;J14&amp;")"</f>
        <v>f(x0)</v>
      </c>
      <c r="G13" s="157" t="s">
        <v>108</v>
      </c>
      <c r="H13" s="16" t="s">
        <v>76</v>
      </c>
      <c r="I13" s="16" t="s">
        <v>106</v>
      </c>
      <c r="J13" s="16" t="str">
        <f>J14</f>
        <v>x0</v>
      </c>
      <c r="K13" s="157" t="s">
        <v>255</v>
      </c>
      <c r="L13" s="157" t="str">
        <f>"f("&amp;H14&amp;")"</f>
        <v>f(x1)</v>
      </c>
      <c r="M13" s="157" t="s">
        <v>106</v>
      </c>
      <c r="N13" s="157" t="str">
        <f>F13</f>
        <v>f(x0)</v>
      </c>
      <c r="O13" s="157" t="s">
        <v>256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31" ht="11.25" customHeight="1">
      <c r="A14" s="3"/>
      <c r="B14" s="19"/>
      <c r="C14" s="19"/>
      <c r="D14" s="173"/>
      <c r="E14" s="157"/>
      <c r="F14" s="157"/>
      <c r="G14" s="157"/>
      <c r="H14" s="83" t="s">
        <v>253</v>
      </c>
      <c r="I14" s="83" t="s">
        <v>106</v>
      </c>
      <c r="J14" s="83" t="s">
        <v>254</v>
      </c>
      <c r="K14" s="157"/>
      <c r="L14" s="157"/>
      <c r="M14" s="157"/>
      <c r="N14" s="157"/>
      <c r="O14" s="157"/>
      <c r="P14" s="19"/>
      <c r="Q14" s="16" t="s">
        <v>257</v>
      </c>
      <c r="R14" s="16" t="str">
        <f>J14</f>
        <v>x0</v>
      </c>
      <c r="S14" s="84" t="s">
        <v>258</v>
      </c>
      <c r="T14" s="16" t="str">
        <f>H13</f>
        <v>x</v>
      </c>
      <c r="U14" s="16" t="str">
        <f>S14</f>
        <v>≤</v>
      </c>
      <c r="V14" s="16" t="str">
        <f>H14</f>
        <v>x1</v>
      </c>
      <c r="W14" s="19"/>
      <c r="X14" s="19"/>
      <c r="Y14" s="19"/>
      <c r="Z14" s="19"/>
      <c r="AB14" s="166" t="s">
        <v>259</v>
      </c>
      <c r="AC14" s="166"/>
      <c r="AD14" s="166"/>
      <c r="AE14" s="166"/>
    </row>
    <row r="15" spans="1:31" ht="11.25" customHeight="1">
      <c r="A15" s="3"/>
      <c r="B15" s="19"/>
      <c r="C15" s="19"/>
      <c r="D15" s="19"/>
      <c r="E15" s="157" t="s">
        <v>73</v>
      </c>
      <c r="F15" s="157">
        <v>1.33743</v>
      </c>
      <c r="G15" s="157"/>
      <c r="H15" s="157" t="s">
        <v>108</v>
      </c>
      <c r="I15" s="188">
        <v>0.83</v>
      </c>
      <c r="J15" s="188"/>
      <c r="K15" s="16" t="s">
        <v>106</v>
      </c>
      <c r="L15" s="188">
        <f>L16</f>
        <v>0.8</v>
      </c>
      <c r="M15" s="188"/>
      <c r="N15" s="157" t="s">
        <v>255</v>
      </c>
      <c r="O15" s="157">
        <v>1.43309</v>
      </c>
      <c r="P15" s="157"/>
      <c r="Q15" s="157" t="s">
        <v>106</v>
      </c>
      <c r="R15" s="157">
        <f>F15</f>
        <v>1.33743</v>
      </c>
      <c r="S15" s="157"/>
      <c r="T15" s="157" t="s">
        <v>256</v>
      </c>
      <c r="U15" s="157" t="s">
        <v>73</v>
      </c>
      <c r="V15" s="200">
        <f>F15+(I15-L15)/(I16-L16)*(O15-R15)</f>
        <v>1.3661279999999998</v>
      </c>
      <c r="W15" s="200"/>
      <c r="X15" s="19"/>
      <c r="Y15" s="19"/>
      <c r="Z15" s="19"/>
      <c r="AB15" s="199">
        <f>yvalue_linear_2Points(L16,F15,I16,O15,I15)</f>
        <v>1.3661279999999998</v>
      </c>
      <c r="AC15" s="199"/>
      <c r="AD15" s="198">
        <f>yvalue_linear(I15,2,L16,I16,X3,X4,X5,X6,X7,X8,X9,X10,F15,O15,Y3,Y4,Y5,Y6,Y7,Y8,Y9,Y10)</f>
        <v>1.3661279999999998</v>
      </c>
      <c r="AE15" s="198"/>
    </row>
    <row r="16" spans="1:31" ht="11.25" customHeight="1">
      <c r="A16" s="3"/>
      <c r="B16" s="19"/>
      <c r="C16" s="19"/>
      <c r="D16" s="19"/>
      <c r="E16" s="157"/>
      <c r="F16" s="157"/>
      <c r="G16" s="157"/>
      <c r="H16" s="157"/>
      <c r="I16" s="179">
        <v>0.9</v>
      </c>
      <c r="J16" s="179"/>
      <c r="K16" s="83" t="s">
        <v>106</v>
      </c>
      <c r="L16" s="179">
        <v>0.8</v>
      </c>
      <c r="M16" s="179"/>
      <c r="N16" s="157"/>
      <c r="O16" s="157"/>
      <c r="P16" s="157"/>
      <c r="Q16" s="157"/>
      <c r="R16" s="157"/>
      <c r="S16" s="157"/>
      <c r="T16" s="157"/>
      <c r="U16" s="157"/>
      <c r="V16" s="200"/>
      <c r="W16" s="200"/>
      <c r="X16" s="19"/>
      <c r="Y16" s="19"/>
      <c r="Z16" s="19"/>
      <c r="AB16" s="199"/>
      <c r="AC16" s="199"/>
      <c r="AD16" s="198"/>
      <c r="AE16" s="198"/>
    </row>
    <row r="17" spans="1:26" ht="11.25" customHeight="1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1.25" customHeight="1">
      <c r="A18" s="3"/>
      <c r="B18" s="19"/>
      <c r="C18" s="19"/>
      <c r="D18" s="81" t="s">
        <v>260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1.25" customHeight="1">
      <c r="A19" s="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1.25" customHeight="1">
      <c r="A20" s="3"/>
      <c r="B20" s="19"/>
      <c r="C20" s="19"/>
      <c r="D20" s="19"/>
      <c r="E20" s="81" t="s">
        <v>261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1.25" customHeight="1">
      <c r="A21" s="3"/>
      <c r="B21" s="19"/>
      <c r="C21" s="19"/>
      <c r="D21" s="19"/>
      <c r="E21" s="19"/>
      <c r="F21" s="19"/>
      <c r="G21" s="19"/>
      <c r="H21" s="16" t="s">
        <v>74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1.25" customHeight="1">
      <c r="A22" s="3"/>
      <c r="B22" s="19"/>
      <c r="C22" s="19"/>
      <c r="D22" s="19"/>
      <c r="E22" s="35" t="str">
        <f>"P"&amp;H21&amp;"(x)"</f>
        <v>Pn(x)</v>
      </c>
      <c r="F22" s="19"/>
      <c r="G22" s="19" t="s">
        <v>79</v>
      </c>
      <c r="H22" s="47" t="s">
        <v>81</v>
      </c>
      <c r="I22" s="16" t="str">
        <f>"y"&amp;G23</f>
        <v>yk</v>
      </c>
      <c r="J22" s="19" t="str">
        <f>"L"&amp;H21&amp;","&amp;G23&amp;"(x)"</f>
        <v>Ln,k(x)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1.25" customHeight="1">
      <c r="A23" s="3"/>
      <c r="B23" s="19"/>
      <c r="C23" s="19"/>
      <c r="D23" s="19"/>
      <c r="E23" s="19"/>
      <c r="F23" s="19"/>
      <c r="G23" s="29" t="s">
        <v>333</v>
      </c>
      <c r="H23" s="16" t="s">
        <v>79</v>
      </c>
      <c r="I23" s="46"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1.25" customHeight="1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1.25" customHeight="1">
      <c r="A25" s="3"/>
      <c r="B25" s="19"/>
      <c r="C25" s="19"/>
      <c r="D25" s="19"/>
      <c r="E25" s="19"/>
      <c r="F25" s="19"/>
      <c r="G25" s="19" t="s">
        <v>149</v>
      </c>
      <c r="H25" s="19"/>
      <c r="I25" s="35" t="str">
        <f>J22</f>
        <v>Ln,k(x)</v>
      </c>
      <c r="J25" s="19"/>
      <c r="K25" s="19" t="s">
        <v>334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1.25" customHeight="1">
      <c r="A26" s="3"/>
      <c r="B26" s="19"/>
      <c r="C26" s="19"/>
      <c r="D26" s="19"/>
      <c r="E26" s="19"/>
      <c r="F26" s="19"/>
      <c r="G26" s="19"/>
      <c r="H26" s="19"/>
      <c r="I26" s="19"/>
      <c r="J26" s="19"/>
      <c r="K26" s="16" t="str">
        <f>H21</f>
        <v>n</v>
      </c>
      <c r="L26" s="19"/>
      <c r="M26" s="19"/>
      <c r="N26" s="19"/>
      <c r="O26" s="19"/>
      <c r="P26" s="19"/>
      <c r="Q26" s="193" t="s">
        <v>339</v>
      </c>
      <c r="R26" s="19"/>
      <c r="S26" s="16" t="str">
        <f>K26</f>
        <v>n</v>
      </c>
      <c r="T26" s="19"/>
      <c r="U26" s="19"/>
      <c r="V26" s="19"/>
      <c r="W26" s="19"/>
      <c r="X26" s="19"/>
      <c r="Y26" s="19"/>
      <c r="Z26" s="19"/>
    </row>
    <row r="27" spans="1:26" ht="11.25" customHeight="1">
      <c r="A27" s="3"/>
      <c r="B27" s="19"/>
      <c r="C27" s="19"/>
      <c r="D27" s="19"/>
      <c r="E27" s="19"/>
      <c r="F27" s="19"/>
      <c r="G27" s="19"/>
      <c r="H27" s="19"/>
      <c r="I27" s="19" t="s">
        <v>79</v>
      </c>
      <c r="J27" s="19"/>
      <c r="K27" s="47" t="s">
        <v>335</v>
      </c>
      <c r="L27" s="16" t="s">
        <v>115</v>
      </c>
      <c r="M27" s="16" t="s">
        <v>26</v>
      </c>
      <c r="N27" s="16" t="s">
        <v>82</v>
      </c>
      <c r="O27" s="16" t="str">
        <f>M27&amp;J28</f>
        <v>xj</v>
      </c>
      <c r="P27" s="16" t="s">
        <v>84</v>
      </c>
      <c r="Q27" s="193"/>
      <c r="R27" s="19"/>
      <c r="S27" s="47" t="s">
        <v>335</v>
      </c>
      <c r="T27" s="16" t="s">
        <v>115</v>
      </c>
      <c r="U27" s="16" t="str">
        <f>M27&amp;T29</f>
        <v>xk</v>
      </c>
      <c r="V27" s="16" t="s">
        <v>82</v>
      </c>
      <c r="W27" s="16" t="str">
        <f>O27</f>
        <v>xj</v>
      </c>
      <c r="X27" s="16" t="s">
        <v>84</v>
      </c>
      <c r="Y27" s="19"/>
      <c r="Z27" s="19"/>
    </row>
    <row r="28" spans="1:26" ht="11.25" customHeight="1">
      <c r="A28" s="3"/>
      <c r="B28" s="19"/>
      <c r="C28" s="19"/>
      <c r="D28" s="19"/>
      <c r="E28" s="19"/>
      <c r="F28" s="19"/>
      <c r="G28" s="19"/>
      <c r="H28" s="19"/>
      <c r="I28" s="19"/>
      <c r="J28" s="29" t="s">
        <v>274</v>
      </c>
      <c r="K28" s="16" t="s">
        <v>79</v>
      </c>
      <c r="L28" s="46">
        <v>0</v>
      </c>
      <c r="M28" s="19"/>
      <c r="N28" s="19"/>
      <c r="O28" s="19"/>
      <c r="P28" s="19"/>
      <c r="Q28" s="193"/>
      <c r="R28" s="29" t="str">
        <f>J28</f>
        <v>j</v>
      </c>
      <c r="S28" s="16" t="s">
        <v>79</v>
      </c>
      <c r="T28" s="46">
        <f>L28</f>
        <v>0</v>
      </c>
      <c r="U28" s="19"/>
      <c r="V28" s="19"/>
      <c r="W28" s="19"/>
      <c r="X28" s="19"/>
      <c r="Y28" s="19"/>
      <c r="Z28" s="19"/>
    </row>
    <row r="29" spans="1:26" ht="11.25" customHeight="1">
      <c r="A29" s="3"/>
      <c r="B29" s="19"/>
      <c r="C29" s="19"/>
      <c r="D29" s="19"/>
      <c r="E29" s="19"/>
      <c r="F29" s="19"/>
      <c r="G29" s="19"/>
      <c r="H29" s="19"/>
      <c r="I29" s="19"/>
      <c r="J29" s="29" t="str">
        <f>J28</f>
        <v>j</v>
      </c>
      <c r="K29" s="84" t="s">
        <v>336</v>
      </c>
      <c r="L29" s="19" t="str">
        <f>G23</f>
        <v>k</v>
      </c>
      <c r="M29" s="19"/>
      <c r="N29" s="19"/>
      <c r="O29" s="19"/>
      <c r="P29" s="19"/>
      <c r="Q29" s="193"/>
      <c r="R29" s="29" t="str">
        <f>J29</f>
        <v>j</v>
      </c>
      <c r="S29" s="84" t="s">
        <v>336</v>
      </c>
      <c r="T29" s="19" t="str">
        <f>L29</f>
        <v>k</v>
      </c>
      <c r="U29" s="19"/>
      <c r="V29" s="19"/>
      <c r="W29" s="19"/>
      <c r="X29" s="19"/>
      <c r="Y29" s="19"/>
      <c r="Z29" s="19"/>
    </row>
    <row r="30" spans="1:26" ht="11.25" customHeight="1">
      <c r="A30" s="3"/>
      <c r="B30" s="19"/>
      <c r="C30" s="19"/>
      <c r="D30" s="19"/>
      <c r="E30" s="19"/>
      <c r="F30" s="19"/>
      <c r="G30" s="19"/>
      <c r="H30" s="19"/>
      <c r="I30" s="177" t="s">
        <v>73</v>
      </c>
      <c r="J30" s="22" t="s">
        <v>115</v>
      </c>
      <c r="K30" s="22" t="str">
        <f>M27</f>
        <v>x</v>
      </c>
      <c r="L30" s="22" t="s">
        <v>82</v>
      </c>
      <c r="M30" s="22" t="s">
        <v>307</v>
      </c>
      <c r="N30" s="22" t="s">
        <v>337</v>
      </c>
      <c r="O30" s="22" t="str">
        <f>K30</f>
        <v>x</v>
      </c>
      <c r="P30" s="22" t="s">
        <v>82</v>
      </c>
      <c r="Q30" s="22" t="str">
        <f>O30&amp;L29&amp;"-1"</f>
        <v>xk-1</v>
      </c>
      <c r="R30" s="22" t="s">
        <v>338</v>
      </c>
      <c r="S30" s="22" t="str">
        <f>O30</f>
        <v>x</v>
      </c>
      <c r="T30" s="22" t="s">
        <v>82</v>
      </c>
      <c r="U30" s="22" t="str">
        <f>O30&amp;L29&amp;"+1"</f>
        <v>xk+1</v>
      </c>
      <c r="V30" s="22" t="str">
        <f>N30</f>
        <v>) … (</v>
      </c>
      <c r="W30" s="22" t="str">
        <f>S30</f>
        <v>x</v>
      </c>
      <c r="X30" s="22" t="s">
        <v>82</v>
      </c>
      <c r="Y30" s="22" t="str">
        <f>O30&amp;K26</f>
        <v>xn</v>
      </c>
      <c r="Z30" s="22" t="s">
        <v>84</v>
      </c>
    </row>
    <row r="31" spans="1:26" ht="11.25" customHeight="1">
      <c r="A31" s="3"/>
      <c r="B31" s="19"/>
      <c r="C31" s="19"/>
      <c r="D31" s="19"/>
      <c r="E31" s="19"/>
      <c r="F31" s="19"/>
      <c r="G31" s="19"/>
      <c r="H31" s="19"/>
      <c r="I31" s="177"/>
      <c r="J31" s="83" t="s">
        <v>115</v>
      </c>
      <c r="K31" s="83" t="str">
        <f>U27</f>
        <v>xk</v>
      </c>
      <c r="L31" s="83" t="s">
        <v>82</v>
      </c>
      <c r="M31" s="83" t="s">
        <v>307</v>
      </c>
      <c r="N31" s="83" t="str">
        <f>N30</f>
        <v>) … (</v>
      </c>
      <c r="O31" s="83" t="str">
        <f>K31</f>
        <v>xk</v>
      </c>
      <c r="P31" s="83" t="s">
        <v>82</v>
      </c>
      <c r="Q31" s="83" t="str">
        <f>Q30</f>
        <v>xk-1</v>
      </c>
      <c r="R31" s="83" t="str">
        <f>R30</f>
        <v>)  (</v>
      </c>
      <c r="S31" s="83" t="str">
        <f>O31</f>
        <v>xk</v>
      </c>
      <c r="T31" s="83" t="s">
        <v>82</v>
      </c>
      <c r="U31" s="83" t="str">
        <f>U30</f>
        <v>xk+1</v>
      </c>
      <c r="V31" s="83" t="str">
        <f>V30</f>
        <v>) … (</v>
      </c>
      <c r="W31" s="83" t="str">
        <f>S31</f>
        <v>xk</v>
      </c>
      <c r="X31" s="83" t="s">
        <v>82</v>
      </c>
      <c r="Y31" s="83" t="str">
        <f>O31&amp;S26</f>
        <v>xkn</v>
      </c>
      <c r="Z31" s="83" t="s">
        <v>84</v>
      </c>
    </row>
    <row r="32" spans="1:33" ht="11.25" customHeight="1">
      <c r="A32" s="3"/>
      <c r="B32" s="19"/>
      <c r="C32" s="19"/>
      <c r="D32" s="19"/>
      <c r="E32" s="19"/>
      <c r="F32" s="19"/>
      <c r="G32" s="35" t="s">
        <v>347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C32" s="19"/>
      <c r="AD32" s="19"/>
      <c r="AE32" s="19"/>
      <c r="AF32" s="19"/>
      <c r="AG32" s="19"/>
    </row>
    <row r="33" spans="1:26" ht="11.25" customHeight="1">
      <c r="A33" s="3"/>
      <c r="B33" s="19"/>
      <c r="C33" s="19"/>
      <c r="D33" s="19"/>
      <c r="E33" s="19"/>
      <c r="F33" s="19"/>
      <c r="G33" s="11" t="str">
        <f>I22</f>
        <v>yk</v>
      </c>
      <c r="H33" s="11"/>
      <c r="I33" s="127">
        <f>COS(I34)</f>
        <v>1</v>
      </c>
      <c r="J33" s="127"/>
      <c r="K33" s="196">
        <f>COS(K35)</f>
        <v>0.8775825618903728</v>
      </c>
      <c r="L33" s="196"/>
      <c r="M33" s="197">
        <f>COS(M34)</f>
        <v>0.5403023058681398</v>
      </c>
      <c r="N33" s="197"/>
      <c r="O33" s="196">
        <f>COS(O35)</f>
        <v>0.0707372016677029</v>
      </c>
      <c r="P33" s="196"/>
      <c r="Q33" s="197">
        <f>COS(Q34)</f>
        <v>-0.4161468365471424</v>
      </c>
      <c r="R33" s="197"/>
      <c r="S33" s="196">
        <f>COS(S35)</f>
        <v>-0.8011436155469337</v>
      </c>
      <c r="T33" s="196"/>
      <c r="U33" s="197">
        <f>COS(U34)</f>
        <v>-0.9899924966004454</v>
      </c>
      <c r="V33" s="197"/>
      <c r="W33" s="16" t="s">
        <v>340</v>
      </c>
      <c r="X33" s="35" t="str">
        <f>"cos( "&amp;G35&amp;" )"</f>
        <v>cos( x )</v>
      </c>
      <c r="Y33" s="19"/>
      <c r="Z33" s="19"/>
    </row>
    <row r="34" spans="1:26" ht="11.25" customHeight="1">
      <c r="A34" s="3"/>
      <c r="B34" s="19"/>
      <c r="C34" s="19"/>
      <c r="D34" s="19"/>
      <c r="E34" s="19"/>
      <c r="F34" s="19"/>
      <c r="G34" s="8" t="str">
        <f>U27</f>
        <v>xk</v>
      </c>
      <c r="H34" s="8"/>
      <c r="I34" s="194">
        <v>0</v>
      </c>
      <c r="J34" s="194"/>
      <c r="K34" s="8"/>
      <c r="L34" s="8"/>
      <c r="M34" s="195">
        <f>I34+(U34-I34)/3*1</f>
        <v>1</v>
      </c>
      <c r="N34" s="195"/>
      <c r="O34" s="8"/>
      <c r="P34" s="8"/>
      <c r="Q34" s="195">
        <f>I34+(U34-I34)/3*2</f>
        <v>2</v>
      </c>
      <c r="R34" s="195"/>
      <c r="S34" s="8"/>
      <c r="T34" s="8"/>
      <c r="U34" s="194">
        <v>3</v>
      </c>
      <c r="V34" s="194"/>
      <c r="W34" s="19"/>
      <c r="X34" s="19"/>
      <c r="Y34" s="19"/>
      <c r="Z34" s="19"/>
    </row>
    <row r="35" spans="1:26" ht="11.25" customHeight="1">
      <c r="A35" s="3"/>
      <c r="B35" s="19"/>
      <c r="C35" s="19"/>
      <c r="D35" s="19"/>
      <c r="E35" s="19"/>
      <c r="F35" s="19"/>
      <c r="G35" s="36" t="str">
        <f>M27</f>
        <v>x</v>
      </c>
      <c r="H35" s="36"/>
      <c r="I35" s="192">
        <f>I34</f>
        <v>0</v>
      </c>
      <c r="J35" s="192"/>
      <c r="K35" s="192">
        <f>(I35+M35)/2</f>
        <v>0.5</v>
      </c>
      <c r="L35" s="192"/>
      <c r="M35" s="192">
        <f>M34</f>
        <v>1</v>
      </c>
      <c r="N35" s="192"/>
      <c r="O35" s="192">
        <f>(M35+Q35)/2</f>
        <v>1.5</v>
      </c>
      <c r="P35" s="192"/>
      <c r="Q35" s="192">
        <f>Q34</f>
        <v>2</v>
      </c>
      <c r="R35" s="192"/>
      <c r="S35" s="192">
        <f>(Q35+U35)/2</f>
        <v>2.5</v>
      </c>
      <c r="T35" s="192"/>
      <c r="U35" s="192">
        <f>U34</f>
        <v>3</v>
      </c>
      <c r="V35" s="192"/>
      <c r="W35" s="19"/>
      <c r="X35" s="19"/>
      <c r="Y35" s="19"/>
      <c r="Z35" s="19"/>
    </row>
    <row r="36" spans="1:26" ht="11.25" customHeight="1">
      <c r="A36" s="3"/>
      <c r="B36" s="19"/>
      <c r="C36" s="19"/>
      <c r="D36" s="19"/>
      <c r="E36" s="19"/>
      <c r="F36" s="19"/>
      <c r="G36" s="11" t="str">
        <f>G23</f>
        <v>k</v>
      </c>
      <c r="H36" s="48">
        <v>0</v>
      </c>
      <c r="I36" s="115">
        <f>I33*(2-1)*(I$35-M$34)*(I$35-Q$34)*(I$35-U$34)/((2-1)*(I34-M$34)*(I34-Q$34)*(I34-U$34))</f>
        <v>1</v>
      </c>
      <c r="J36" s="115"/>
      <c r="K36" s="115">
        <f>I33*(2-1)*(K$35-M$34)*(K$35-Q$34)*(K$35-U$34)/((2-1)*(I34-M$34)*(I34-Q$34)*(I34-U$34))</f>
        <v>0.3125</v>
      </c>
      <c r="L36" s="115"/>
      <c r="M36" s="115">
        <f>I33*(2-1)*(M$35-M$34)*(M$35-Q$34)*(M$35-U$34)/((2-1)*(I34-M$34)*(I34-Q$34)*(I34-U$34))</f>
        <v>0</v>
      </c>
      <c r="N36" s="115"/>
      <c r="O36" s="115">
        <f>I33*(2-1)*(O$35-M$34)*(O$35-Q$34)*(O$35-U$34)/((2-1)*(I34-M$34)*(I34-Q$34)*(I34-U$34))</f>
        <v>-0.0625</v>
      </c>
      <c r="P36" s="115"/>
      <c r="Q36" s="115">
        <f>I33*(2-1)*(Q$35-M$34)*(Q$35-Q$34)*(Q$35-U$34)/((2-1)*(I34-M$34)*(I34-Q$34)*(I34-U$34))</f>
        <v>0</v>
      </c>
      <c r="R36" s="115"/>
      <c r="S36" s="115">
        <f>I33*(2-1)*(S$35-M$34)*(S$35-Q$34)*(S$35-U$34)/((2-1)*(I34-M$34)*(I34-Q$34)*(I34-U$34))</f>
        <v>0.0625</v>
      </c>
      <c r="T36" s="115"/>
      <c r="U36" s="115">
        <f>I33*(2-1)*(U$35-M$34)*(U$35-Q$34)*(U$35-U$34)/((2-1)*(I34-M$34)*(I34-Q$34)*(I34-U$34))</f>
        <v>0</v>
      </c>
      <c r="V36" s="115"/>
      <c r="W36" s="19"/>
      <c r="X36" s="19"/>
      <c r="Y36" s="19"/>
      <c r="Z36" s="19"/>
    </row>
    <row r="37" spans="1:26" ht="11.25" customHeight="1">
      <c r="A37" s="3"/>
      <c r="B37" s="19"/>
      <c r="C37" s="19"/>
      <c r="D37" s="19"/>
      <c r="E37" s="19"/>
      <c r="F37" s="19"/>
      <c r="G37" s="7"/>
      <c r="H37" s="39">
        <v>1</v>
      </c>
      <c r="I37" s="110">
        <f>M33*(I$35-I$34)*(2-1)*(I$35-Q$34)*(I$35-U$34)/((M34-I$34)*(2-1)*(M34-Q$34)*(M34-U$34))</f>
        <v>0</v>
      </c>
      <c r="J37" s="110"/>
      <c r="K37" s="110">
        <f>M33*(K$35-I$34)*(2-1)*(K$35-Q$34)*(K$35-U$34)/((M34-I$34)*(2-1)*(M34-Q$34)*(M34-U$34))</f>
        <v>0.506533411751381</v>
      </c>
      <c r="L37" s="110"/>
      <c r="M37" s="110">
        <f>M33*(M$35-I$34)*(2-1)*(M$35-Q$34)*(M$35-U$34)/((M34-I$34)*(2-1)*(M34-Q$34)*(M34-U$34))</f>
        <v>0.5403023058681398</v>
      </c>
      <c r="N37" s="110"/>
      <c r="O37" s="110">
        <f>M33*(O$35-I$34)*(2-1)*(O$35-Q$34)*(O$35-U$34)/((M34-I$34)*(2-1)*(M34-Q$34)*(M34-U$34))</f>
        <v>0.30392004705082865</v>
      </c>
      <c r="P37" s="110"/>
      <c r="Q37" s="110">
        <f>M33*(Q$35-I$34)*(2-1)*(Q$35-Q$34)*(Q$35-U$34)/((M34-I$34)*(2-1)*(M34-Q$34)*(M34-U$34))</f>
        <v>0</v>
      </c>
      <c r="R37" s="110"/>
      <c r="S37" s="110">
        <f>M33*(S$35-I$34)*(2-1)*(S$35-Q$34)*(S$35-U$34)/((M34-I$34)*(2-1)*(M34-Q$34)*(M34-U$34))</f>
        <v>-0.16884447058379368</v>
      </c>
      <c r="T37" s="110"/>
      <c r="U37" s="110">
        <f>M33*(U$35-I$34)*(2-1)*(U$35-Q$34)*(U$35-U$34)/((M34-I$34)*(2-1)*(M34-Q$34)*(M34-U$34))</f>
        <v>0</v>
      </c>
      <c r="V37" s="110"/>
      <c r="W37" s="19"/>
      <c r="X37" s="19"/>
      <c r="Y37" s="19"/>
      <c r="Z37" s="19"/>
    </row>
    <row r="38" spans="1:26" ht="11.25" customHeight="1">
      <c r="A38" s="3"/>
      <c r="B38" s="19"/>
      <c r="C38" s="19"/>
      <c r="D38" s="19"/>
      <c r="E38" s="19"/>
      <c r="F38" s="19"/>
      <c r="G38" s="7"/>
      <c r="H38" s="39">
        <v>2</v>
      </c>
      <c r="I38" s="110">
        <f>Q33*(I$35-I$34)*(I$35-M$34)*(2-1)*(I$35-U$34)/((Q34-I$34)*(Q34-M$34)*(2-1)*(Q34-U$34))</f>
        <v>0</v>
      </c>
      <c r="J38" s="110"/>
      <c r="K38" s="110">
        <f>Q33*(K$35-I$34)*(K$35-M$34)*(2-1)*(K$35-U$34)/((Q34-I$34)*(Q34-M$34)*(2-1)*(Q34-U$34))</f>
        <v>0.130045886420982</v>
      </c>
      <c r="L38" s="110"/>
      <c r="M38" s="110">
        <f>Q33*(M$35-I$34)*(M$35-M$34)*(2-1)*(M$35-U$34)/((Q34-I$34)*(Q34-M$34)*(2-1)*(Q34-U$34))</f>
        <v>0</v>
      </c>
      <c r="N38" s="110"/>
      <c r="O38" s="110">
        <f>Q33*(O$35-I$34)*(O$35-M$34)*(2-1)*(O$35-U$34)/((Q34-I$34)*(Q34-M$34)*(2-1)*(Q34-U$34))</f>
        <v>-0.23408259555776761</v>
      </c>
      <c r="P38" s="110"/>
      <c r="Q38" s="110">
        <f>Q33*(Q$35-I$34)*(Q$35-M$34)*(2-1)*(Q$35-U$34)/((Q34-I$34)*(Q34-M$34)*(2-1)*(Q34-U$34))</f>
        <v>-0.4161468365471424</v>
      </c>
      <c r="R38" s="110"/>
      <c r="S38" s="110">
        <f>Q33*(S$35-I$34)*(S$35-M$34)*(2-1)*(S$35-U$34)/((Q34-I$34)*(Q34-M$34)*(2-1)*(Q34-U$34))</f>
        <v>-0.39013765926294597</v>
      </c>
      <c r="T38" s="110"/>
      <c r="U38" s="110">
        <f>Q33*(U$35-I$34)*(U$35-M$34)*(2-1)*(U$35-U$34)/((Q34-I$34)*(Q34-M$34)*(2-1)*(Q34-U$34))</f>
        <v>0</v>
      </c>
      <c r="V38" s="110"/>
      <c r="W38" s="19"/>
      <c r="X38" s="19"/>
      <c r="Y38" s="19"/>
      <c r="Z38" s="19"/>
    </row>
    <row r="39" spans="1:29" ht="11.25" customHeight="1">
      <c r="A39" s="3"/>
      <c r="B39" s="19"/>
      <c r="C39" s="19"/>
      <c r="D39" s="19"/>
      <c r="E39" s="19"/>
      <c r="F39" s="19"/>
      <c r="G39" s="8"/>
      <c r="H39" s="42">
        <v>3</v>
      </c>
      <c r="I39" s="191">
        <f>U33*(I$35-I$34)*(I$35-M$34)*(I$35-Q$34)*(2-1)/((U34-I$34)*(U34-M$34)*(U34-Q$34)*(2-1))</f>
        <v>0</v>
      </c>
      <c r="J39" s="191"/>
      <c r="K39" s="191">
        <f>U33*(K$35-I$34)*(K$35-M$34)*(K$35-Q$34)*(2-1)/((U34-I$34)*(U34-M$34)*(U34-Q$34)*(2-1))</f>
        <v>-0.061874531037527845</v>
      </c>
      <c r="L39" s="191"/>
      <c r="M39" s="191">
        <f>U33*(M$35-I$34)*(M$35-M$34)*(M$35-Q$34)*(2-1)/((U34-I$34)*(U34-M$34)*(U34-Q$34)*(2-1))</f>
        <v>0</v>
      </c>
      <c r="N39" s="191"/>
      <c r="O39" s="191">
        <f>U33*(O$35-I$34)*(O$35-M$34)*(O$35-Q$34)*(2-1)/((U34-I$34)*(U34-M$34)*(U34-Q$34)*(2-1))</f>
        <v>0.061874531037527845</v>
      </c>
      <c r="P39" s="191"/>
      <c r="Q39" s="191">
        <f>U33*(Q$35-I$34)*(Q$35-M$34)*(Q$35-Q$34)*(2-1)/((U34-I$34)*(U34-M$34)*(U34-Q$34)*(2-1))</f>
        <v>0</v>
      </c>
      <c r="R39" s="191"/>
      <c r="S39" s="191">
        <f>U33*(S$35-I$34)*(S$35-M$34)*(S$35-Q$34)*(2-1)/((U34-I$34)*(U34-M$34)*(U34-Q$34)*(2-1))</f>
        <v>-0.3093726551876392</v>
      </c>
      <c r="T39" s="191"/>
      <c r="U39" s="191">
        <f>U33*(U$35-I$34)*(U$35-M$34)*(U$35-Q$34)*(2-1)/((U34-I$34)*(U34-M$34)*(U34-Q$34)*(2-1))</f>
        <v>-0.9899924966004455</v>
      </c>
      <c r="V39" s="191"/>
      <c r="W39" s="19"/>
      <c r="X39" s="19"/>
      <c r="Y39" s="19"/>
      <c r="Z39" s="19"/>
      <c r="AB39" s="166" t="s">
        <v>91</v>
      </c>
      <c r="AC39" s="166"/>
    </row>
    <row r="40" spans="1:41" ht="11.25" customHeight="1">
      <c r="A40" s="3"/>
      <c r="B40" s="19"/>
      <c r="C40" s="19"/>
      <c r="D40" s="19"/>
      <c r="E40" s="19"/>
      <c r="F40" s="19"/>
      <c r="G40" s="99" t="str">
        <f>E22</f>
        <v>Pn(x)</v>
      </c>
      <c r="H40" s="100"/>
      <c r="I40" s="189">
        <f>SUM(I36:J39)</f>
        <v>1</v>
      </c>
      <c r="J40" s="189"/>
      <c r="K40" s="189">
        <f>SUM(K36:L39)</f>
        <v>0.8872047671348352</v>
      </c>
      <c r="L40" s="189"/>
      <c r="M40" s="189">
        <f>SUM(M36:N39)</f>
        <v>0.5403023058681398</v>
      </c>
      <c r="N40" s="189"/>
      <c r="O40" s="189">
        <f>SUM(O36:P39)</f>
        <v>0.06921198253058888</v>
      </c>
      <c r="P40" s="189"/>
      <c r="Q40" s="189">
        <f>SUM(Q36:R39)</f>
        <v>-0.4161468365471424</v>
      </c>
      <c r="R40" s="189"/>
      <c r="S40" s="189">
        <f>SUM(S36:T39)</f>
        <v>-0.8058547850343789</v>
      </c>
      <c r="T40" s="189"/>
      <c r="U40" s="189">
        <f>SUM(U36:V39)</f>
        <v>-0.9899924966004455</v>
      </c>
      <c r="V40" s="189"/>
      <c r="W40" s="19"/>
      <c r="X40" s="19"/>
      <c r="Y40" s="19"/>
      <c r="Z40" s="19"/>
      <c r="AB40" s="190">
        <f>yvalue(I35,H39+1,$I34,$M34,$Q34,$U34,X5,X6,X7,X8,X44,X9,$I33,$M33,$Q33,$U33,Y5,Y6,Y7,Y8,Y44,Y9)</f>
        <v>1</v>
      </c>
      <c r="AC40" s="190"/>
      <c r="AD40" s="190">
        <f>yvalue(K35,H39+1,$I34,$M34,$Q34,$U34,X5,X6,X7,X8,X44,X9,$I33,$M33,$Q33,$U33,Y5,Y6,Y7,Y8,Y44,Y9)</f>
        <v>0.8872047671348352</v>
      </c>
      <c r="AE40" s="190"/>
      <c r="AF40" s="190">
        <f>yvalue(M35,H39+1,$I34,$M34,$Q34,$U34,X5,X6,X7,X8,X44,X9,$I33,$M33,$Q33,$U33,Y5,Y6,Y7,Y8,Y44,Y9)</f>
        <v>0.5403023058681398</v>
      </c>
      <c r="AG40" s="190"/>
      <c r="AH40" s="190">
        <f>yvalue(O35,H39+1,$I34,$M34,$Q34,$U34,X5,X6,X7,X8,X44,X9,$I33,$M33,$Q33,$U33,Y5,Y6,Y7,Y8,Y44,Y9)</f>
        <v>0.06921198253058887</v>
      </c>
      <c r="AI40" s="190"/>
      <c r="AJ40" s="190">
        <f>yvalue(Q35,H39+1,$I34,$M34,$Q34,$U34,X5,X6,X7,X8,X44,X9,$I33,$M33,$Q33,$U33,Y5,Y6,Y7,Y8,Y44,Y9)</f>
        <v>-0.4161468365471424</v>
      </c>
      <c r="AK40" s="190"/>
      <c r="AL40" s="190">
        <f>yvalue(S35,H39+1,$I34,$M34,$Q34,$U34,X5,X6,X7,X8,X44,X9,$I33,$M33,$Q33,$U33,Y5,Y6,Y7,Y8,Y44,Y9)</f>
        <v>-0.8058547850343789</v>
      </c>
      <c r="AM40" s="190"/>
      <c r="AN40" s="190">
        <f>yvalue(U35,H39+1,$I34,$M34,$Q34,$U34,X5,X6,X7,X8,X44,X9,$I33,$M33,$Q33,$U33,Y5,Y6,Y7,Y8,Y44,Y9)</f>
        <v>-0.9899924966004454</v>
      </c>
      <c r="AO40" s="190"/>
    </row>
    <row r="41" spans="1:26" ht="11.25" customHeight="1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1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1.25" customHeight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1.25" customHeight="1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33" ht="11.25" customHeight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C46" s="19"/>
      <c r="AD46" s="19"/>
      <c r="AE46" s="19"/>
      <c r="AF46" s="19"/>
      <c r="AG46" s="19"/>
    </row>
    <row r="47" spans="1:26" ht="11.2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  <row r="65" spans="9:17" ht="11.25">
      <c r="I65" s="2" t="str">
        <f>G33</f>
        <v>yk</v>
      </c>
      <c r="K65" s="98">
        <f>I33</f>
        <v>1</v>
      </c>
      <c r="L65" s="98">
        <f>K33</f>
        <v>0.8775825618903728</v>
      </c>
      <c r="M65" s="98">
        <f>M33</f>
        <v>0.5403023058681398</v>
      </c>
      <c r="N65" s="98">
        <f>O33</f>
        <v>0.0707372016677029</v>
      </c>
      <c r="O65" s="98">
        <f>Q33</f>
        <v>-0.4161468365471424</v>
      </c>
      <c r="P65" s="98">
        <f>S33</f>
        <v>-0.8011436155469337</v>
      </c>
      <c r="Q65" s="98">
        <f>U33</f>
        <v>-0.9899924966004454</v>
      </c>
    </row>
    <row r="66" spans="9:17" ht="11.25">
      <c r="I66" s="2" t="str">
        <f>G40</f>
        <v>Pn(x)</v>
      </c>
      <c r="K66" s="98">
        <f>I40</f>
        <v>1</v>
      </c>
      <c r="L66" s="98">
        <f>K40</f>
        <v>0.8872047671348352</v>
      </c>
      <c r="M66" s="98">
        <f>M40</f>
        <v>0.5403023058681398</v>
      </c>
      <c r="N66" s="98">
        <f>O40</f>
        <v>0.06921198253058888</v>
      </c>
      <c r="O66" s="98">
        <f>Q40</f>
        <v>-0.4161468365471424</v>
      </c>
      <c r="P66" s="98">
        <f>S40</f>
        <v>-0.8058547850343789</v>
      </c>
      <c r="Q66" s="98">
        <f>U40</f>
        <v>-0.9899924966004455</v>
      </c>
    </row>
    <row r="67" spans="9:17" ht="11.25">
      <c r="I67" s="2" t="str">
        <f>G35</f>
        <v>x</v>
      </c>
      <c r="K67" s="2">
        <f>I35</f>
        <v>0</v>
      </c>
      <c r="L67" s="2">
        <f>K35</f>
        <v>0.5</v>
      </c>
      <c r="M67" s="2">
        <f>M35</f>
        <v>1</v>
      </c>
      <c r="N67" s="2">
        <f>O35</f>
        <v>1.5</v>
      </c>
      <c r="O67" s="2">
        <f>Q35</f>
        <v>2</v>
      </c>
      <c r="P67" s="2">
        <f>S35</f>
        <v>2.5</v>
      </c>
      <c r="Q67" s="2">
        <f>U35</f>
        <v>3</v>
      </c>
    </row>
  </sheetData>
  <mergeCells count="94">
    <mergeCell ref="AD15:AE16"/>
    <mergeCell ref="AB14:AE14"/>
    <mergeCell ref="AB15:AC16"/>
    <mergeCell ref="Q15:Q16"/>
    <mergeCell ref="T15:T16"/>
    <mergeCell ref="R15:S16"/>
    <mergeCell ref="U15:U16"/>
    <mergeCell ref="V15:W16"/>
    <mergeCell ref="E15:E16"/>
    <mergeCell ref="H15:H16"/>
    <mergeCell ref="N15:N16"/>
    <mergeCell ref="F15:G16"/>
    <mergeCell ref="I15:J15"/>
    <mergeCell ref="O13:O14"/>
    <mergeCell ref="L16:M16"/>
    <mergeCell ref="I16:J16"/>
    <mergeCell ref="K13:K14"/>
    <mergeCell ref="L13:L14"/>
    <mergeCell ref="M13:M14"/>
    <mergeCell ref="N13:N14"/>
    <mergeCell ref="O15:P16"/>
    <mergeCell ref="L15:M15"/>
    <mergeCell ref="B1:S2"/>
    <mergeCell ref="B3:S4"/>
    <mergeCell ref="X4:Y4"/>
    <mergeCell ref="W1:Z1"/>
    <mergeCell ref="W2:Z2"/>
    <mergeCell ref="D13:D14"/>
    <mergeCell ref="E13:E14"/>
    <mergeCell ref="F13:F14"/>
    <mergeCell ref="G13:G14"/>
    <mergeCell ref="U34:V34"/>
    <mergeCell ref="I33:J33"/>
    <mergeCell ref="M33:N33"/>
    <mergeCell ref="Q33:R33"/>
    <mergeCell ref="U33:V33"/>
    <mergeCell ref="S33:T33"/>
    <mergeCell ref="Q26:Q29"/>
    <mergeCell ref="I30:I31"/>
    <mergeCell ref="I34:J34"/>
    <mergeCell ref="M34:N34"/>
    <mergeCell ref="Q34:R34"/>
    <mergeCell ref="K33:L33"/>
    <mergeCell ref="O33:P33"/>
    <mergeCell ref="I35:J35"/>
    <mergeCell ref="M35:N35"/>
    <mergeCell ref="Q35:R35"/>
    <mergeCell ref="U35:V35"/>
    <mergeCell ref="K35:L35"/>
    <mergeCell ref="O35:P35"/>
    <mergeCell ref="S35:T35"/>
    <mergeCell ref="K36:L36"/>
    <mergeCell ref="O36:P36"/>
    <mergeCell ref="S36:T36"/>
    <mergeCell ref="K37:L37"/>
    <mergeCell ref="K38:L38"/>
    <mergeCell ref="K39:L39"/>
    <mergeCell ref="K40:L40"/>
    <mergeCell ref="O37:P37"/>
    <mergeCell ref="O38:P38"/>
    <mergeCell ref="O39:P39"/>
    <mergeCell ref="O40:P40"/>
    <mergeCell ref="M39:N39"/>
    <mergeCell ref="M40:N40"/>
    <mergeCell ref="U38:V38"/>
    <mergeCell ref="U39:V39"/>
    <mergeCell ref="S37:T37"/>
    <mergeCell ref="S38:T38"/>
    <mergeCell ref="S39:T39"/>
    <mergeCell ref="AH40:AI40"/>
    <mergeCell ref="AJ40:AK40"/>
    <mergeCell ref="U40:V40"/>
    <mergeCell ref="Q36:R36"/>
    <mergeCell ref="Q37:R37"/>
    <mergeCell ref="Q38:R38"/>
    <mergeCell ref="Q39:R39"/>
    <mergeCell ref="Q40:R40"/>
    <mergeCell ref="U36:V36"/>
    <mergeCell ref="U37:V37"/>
    <mergeCell ref="AL40:AM40"/>
    <mergeCell ref="AN40:AO40"/>
    <mergeCell ref="I36:J36"/>
    <mergeCell ref="I37:J37"/>
    <mergeCell ref="I38:J38"/>
    <mergeCell ref="I39:J39"/>
    <mergeCell ref="I40:J40"/>
    <mergeCell ref="M36:N36"/>
    <mergeCell ref="M37:N37"/>
    <mergeCell ref="M38:N38"/>
    <mergeCell ref="S40:T40"/>
    <mergeCell ref="AB40:AC40"/>
    <mergeCell ref="AF40:AG40"/>
    <mergeCell ref="AB39:AC39"/>
    <mergeCell ref="AD40:AE40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C64"/>
  <sheetViews>
    <sheetView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262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263</v>
      </c>
      <c r="U2" s="7"/>
      <c r="V2" s="76"/>
      <c r="W2" s="117" t="s">
        <v>264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265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266</v>
      </c>
      <c r="U4" s="17"/>
      <c r="V4" s="78"/>
      <c r="W4" s="80">
        <v>12</v>
      </c>
      <c r="X4" s="148" t="s">
        <v>267</v>
      </c>
      <c r="Y4" s="148"/>
      <c r="Z4" s="38">
        <f>sheetqty</f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1.25" customHeight="1">
      <c r="A9" s="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 customHeight="1">
      <c r="A10" s="3"/>
      <c r="B10" s="19"/>
      <c r="C10" s="19"/>
      <c r="D10" s="91" t="s">
        <v>268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1.25" customHeight="1">
      <c r="A11" s="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1.25" customHeight="1">
      <c r="A12" s="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1.25" customHeight="1">
      <c r="A13" s="3"/>
      <c r="B13" s="19"/>
      <c r="C13" s="19"/>
      <c r="D13" s="81" t="s">
        <v>269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1.25" customHeight="1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1.25" customHeight="1">
      <c r="A15" s="3"/>
      <c r="B15" s="19"/>
      <c r="C15" s="19"/>
      <c r="D15" s="188" t="s">
        <v>348</v>
      </c>
      <c r="E15" s="18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1.25" customHeight="1">
      <c r="A16" s="3"/>
      <c r="B16" s="19"/>
      <c r="C16" s="19"/>
      <c r="D16" s="19"/>
      <c r="E16" s="19"/>
      <c r="F16" s="16" t="s">
        <v>313</v>
      </c>
      <c r="G16" s="16" t="s">
        <v>314</v>
      </c>
      <c r="H16" s="16" t="s">
        <v>319</v>
      </c>
      <c r="I16" s="19"/>
      <c r="J16" s="16" t="s">
        <v>320</v>
      </c>
      <c r="K16" s="16" t="s">
        <v>315</v>
      </c>
      <c r="L16" s="44" t="s">
        <v>139</v>
      </c>
      <c r="M16" s="16" t="s">
        <v>312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9" ht="11.25" customHeight="1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C17" s="19"/>
    </row>
    <row r="18" spans="1:29" ht="11.25" customHeight="1">
      <c r="A18" s="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B18" s="19"/>
      <c r="AC18" s="19"/>
    </row>
    <row r="19" spans="1:29" ht="11.25" customHeight="1">
      <c r="A19" s="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B19" s="19"/>
      <c r="AC19" s="19"/>
    </row>
    <row r="20" spans="1:26" ht="11.25" customHeight="1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1.25" customHeight="1">
      <c r="A21" s="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 t="s">
        <v>76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1.25" customHeight="1">
      <c r="A22" s="3"/>
      <c r="B22" s="19"/>
      <c r="C22" s="19"/>
      <c r="D22" s="19"/>
      <c r="E22" s="19"/>
      <c r="F22" s="16" t="s">
        <v>307</v>
      </c>
      <c r="G22" s="16" t="s">
        <v>282</v>
      </c>
      <c r="H22" s="16" t="s">
        <v>283</v>
      </c>
      <c r="I22" s="44" t="s">
        <v>308</v>
      </c>
      <c r="J22" s="16" t="s">
        <v>311</v>
      </c>
      <c r="K22" s="16" t="s">
        <v>310</v>
      </c>
      <c r="L22" s="16" t="s">
        <v>309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1.25" customHeight="1">
      <c r="A23" s="3"/>
      <c r="B23" s="19"/>
      <c r="C23" s="19"/>
      <c r="D23" s="19"/>
      <c r="E23" s="19"/>
      <c r="F23" s="188" t="s">
        <v>318</v>
      </c>
      <c r="G23" s="188"/>
      <c r="H23" s="19"/>
      <c r="I23" s="19"/>
      <c r="J23" s="19"/>
      <c r="K23" s="188" t="str">
        <f>F23</f>
        <v>h</v>
      </c>
      <c r="L23" s="18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1.25" customHeight="1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1.25" customHeight="1">
      <c r="A25" s="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1.25" customHeight="1">
      <c r="A26" s="3"/>
      <c r="B26" s="19"/>
      <c r="C26" s="19"/>
      <c r="D26" s="173" t="s">
        <v>316</v>
      </c>
      <c r="E26" s="157" t="s">
        <v>317</v>
      </c>
      <c r="F26" s="157" t="s">
        <v>115</v>
      </c>
      <c r="G26" s="157" t="str">
        <f>F23</f>
        <v>h</v>
      </c>
      <c r="H26" s="16" t="str">
        <f>F16</f>
        <v>y0</v>
      </c>
      <c r="I26" s="16" t="s">
        <v>90</v>
      </c>
      <c r="J26" s="16" t="str">
        <f>G16</f>
        <v>y1</v>
      </c>
      <c r="K26" s="157" t="s">
        <v>84</v>
      </c>
      <c r="L26" s="157" t="s">
        <v>90</v>
      </c>
      <c r="M26" s="157" t="s">
        <v>115</v>
      </c>
      <c r="N26" s="157" t="str">
        <f>G26</f>
        <v>h</v>
      </c>
      <c r="O26" s="16" t="str">
        <f>G16</f>
        <v>y1</v>
      </c>
      <c r="P26" s="16" t="s">
        <v>90</v>
      </c>
      <c r="Q26" s="16" t="str">
        <f>H16</f>
        <v>y2</v>
      </c>
      <c r="R26" s="157" t="s">
        <v>84</v>
      </c>
      <c r="S26" s="157" t="s">
        <v>90</v>
      </c>
      <c r="T26" s="157" t="s">
        <v>308</v>
      </c>
      <c r="U26" s="157"/>
      <c r="V26" s="19"/>
      <c r="W26" s="19"/>
      <c r="X26" s="19"/>
      <c r="Y26" s="19"/>
      <c r="Z26" s="19"/>
    </row>
    <row r="27" spans="1:26" ht="11.25" customHeight="1">
      <c r="A27" s="3"/>
      <c r="B27" s="19"/>
      <c r="C27" s="19"/>
      <c r="D27" s="173"/>
      <c r="E27" s="157"/>
      <c r="F27" s="157"/>
      <c r="G27" s="157"/>
      <c r="H27" s="96"/>
      <c r="I27" s="97">
        <v>2</v>
      </c>
      <c r="J27" s="96"/>
      <c r="K27" s="157"/>
      <c r="L27" s="157"/>
      <c r="M27" s="157"/>
      <c r="N27" s="157"/>
      <c r="O27" s="96"/>
      <c r="P27" s="97">
        <v>2</v>
      </c>
      <c r="Q27" s="96"/>
      <c r="R27" s="157"/>
      <c r="S27" s="157"/>
      <c r="T27" s="157"/>
      <c r="U27" s="157"/>
      <c r="V27" s="19"/>
      <c r="W27" s="19"/>
      <c r="X27" s="19"/>
      <c r="Y27" s="19"/>
      <c r="Z27" s="19"/>
    </row>
    <row r="28" spans="1:26" ht="11.25" customHeight="1">
      <c r="A28" s="3"/>
      <c r="B28" s="19"/>
      <c r="C28" s="19"/>
      <c r="D28" s="19"/>
      <c r="E28" s="201" t="s">
        <v>90</v>
      </c>
      <c r="F28" s="157" t="s">
        <v>115</v>
      </c>
      <c r="G28" s="157" t="str">
        <f>G26</f>
        <v>h</v>
      </c>
      <c r="H28" s="16" t="str">
        <f>J16</f>
        <v>yn-2</v>
      </c>
      <c r="I28" s="16" t="s">
        <v>90</v>
      </c>
      <c r="J28" s="16" t="str">
        <f>K16</f>
        <v>yn-1</v>
      </c>
      <c r="K28" s="157" t="s">
        <v>84</v>
      </c>
      <c r="L28" s="157" t="s">
        <v>90</v>
      </c>
      <c r="M28" s="157" t="s">
        <v>115</v>
      </c>
      <c r="N28" s="157" t="str">
        <f>N26</f>
        <v>h</v>
      </c>
      <c r="O28" s="16" t="str">
        <f>K16</f>
        <v>yn-1</v>
      </c>
      <c r="P28" s="16" t="s">
        <v>90</v>
      </c>
      <c r="Q28" s="16" t="str">
        <f>L16</f>
        <v>yn</v>
      </c>
      <c r="R28" s="157" t="s">
        <v>84</v>
      </c>
      <c r="S28" s="19"/>
      <c r="T28" s="19"/>
      <c r="U28" s="19"/>
      <c r="V28" s="19"/>
      <c r="W28" s="19"/>
      <c r="X28" s="19"/>
      <c r="Y28" s="19"/>
      <c r="Z28" s="19"/>
    </row>
    <row r="29" spans="1:26" ht="11.25" customHeight="1">
      <c r="A29" s="3"/>
      <c r="B29" s="19"/>
      <c r="C29" s="19"/>
      <c r="D29" s="19"/>
      <c r="E29" s="201"/>
      <c r="F29" s="157"/>
      <c r="G29" s="157"/>
      <c r="H29" s="96"/>
      <c r="I29" s="97">
        <v>2</v>
      </c>
      <c r="J29" s="96"/>
      <c r="K29" s="157"/>
      <c r="L29" s="157"/>
      <c r="M29" s="157"/>
      <c r="N29" s="157"/>
      <c r="O29" s="96"/>
      <c r="P29" s="97">
        <v>2</v>
      </c>
      <c r="Q29" s="96"/>
      <c r="R29" s="157"/>
      <c r="S29" s="19"/>
      <c r="T29" s="19"/>
      <c r="U29" s="19"/>
      <c r="V29" s="19"/>
      <c r="W29" s="19"/>
      <c r="X29" s="19"/>
      <c r="Y29" s="19"/>
      <c r="Z29" s="19"/>
    </row>
    <row r="30" spans="1:26" ht="11.25" customHeight="1">
      <c r="A30" s="3"/>
      <c r="B30" s="19"/>
      <c r="C30" s="19"/>
      <c r="D30" s="19"/>
      <c r="E30" s="157" t="s">
        <v>317</v>
      </c>
      <c r="F30" s="16" t="str">
        <f>G26</f>
        <v>h</v>
      </c>
      <c r="G30" s="157" t="s">
        <v>115</v>
      </c>
      <c r="H30" s="157" t="str">
        <f>H26</f>
        <v>y0</v>
      </c>
      <c r="I30" s="157" t="s">
        <v>90</v>
      </c>
      <c r="J30" s="157" t="str">
        <f>"2 "&amp;J26</f>
        <v>2 y1</v>
      </c>
      <c r="K30" s="157" t="s">
        <v>90</v>
      </c>
      <c r="L30" s="157" t="str">
        <f>"2 "&amp;Q26</f>
        <v>2 y2</v>
      </c>
      <c r="M30" s="157" t="s">
        <v>90</v>
      </c>
      <c r="N30" s="157" t="s">
        <v>308</v>
      </c>
      <c r="O30" s="157"/>
      <c r="P30" s="157" t="s">
        <v>90</v>
      </c>
      <c r="Q30" s="157" t="str">
        <f>"2 "&amp;H28</f>
        <v>2 yn-2</v>
      </c>
      <c r="R30" s="157"/>
      <c r="S30" s="157" t="s">
        <v>90</v>
      </c>
      <c r="T30" s="157" t="str">
        <f>"2 "&amp;O28</f>
        <v>2 yn-1</v>
      </c>
      <c r="U30" s="157"/>
      <c r="V30" s="157" t="s">
        <v>90</v>
      </c>
      <c r="W30" s="157" t="str">
        <f>Q28</f>
        <v>yn</v>
      </c>
      <c r="X30" s="157" t="s">
        <v>84</v>
      </c>
      <c r="Y30" s="19"/>
      <c r="Z30" s="19"/>
    </row>
    <row r="31" spans="1:26" ht="11.25" customHeight="1">
      <c r="A31" s="3"/>
      <c r="B31" s="19"/>
      <c r="C31" s="19"/>
      <c r="D31" s="19"/>
      <c r="E31" s="157"/>
      <c r="F31" s="83">
        <f>I27</f>
        <v>2</v>
      </c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9"/>
      <c r="Z31" s="19"/>
    </row>
    <row r="32" spans="1:26" ht="11.25" customHeight="1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1.25" customHeight="1">
      <c r="A34" s="3"/>
      <c r="B34" s="19"/>
      <c r="C34" s="19"/>
      <c r="D34" s="81" t="s">
        <v>321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1.25" customHeight="1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1.25" customHeight="1">
      <c r="A36" s="3"/>
      <c r="B36" s="19"/>
      <c r="C36" s="19"/>
      <c r="D36" s="173" t="s">
        <v>316</v>
      </c>
      <c r="E36" s="157" t="s">
        <v>317</v>
      </c>
      <c r="F36" s="16" t="str">
        <f>F23</f>
        <v>h</v>
      </c>
      <c r="G36" s="157" t="s">
        <v>115</v>
      </c>
      <c r="H36" s="157" t="str">
        <f>F16</f>
        <v>y0</v>
      </c>
      <c r="I36" s="157" t="s">
        <v>90</v>
      </c>
      <c r="J36" s="157" t="str">
        <f>"4 "&amp;G16</f>
        <v>4 y1</v>
      </c>
      <c r="K36" s="157" t="s">
        <v>90</v>
      </c>
      <c r="L36" s="157" t="str">
        <f>"2 "&amp;H16</f>
        <v>2 y2</v>
      </c>
      <c r="M36" s="157" t="s">
        <v>90</v>
      </c>
      <c r="N36" s="157" t="s">
        <v>308</v>
      </c>
      <c r="O36" s="157"/>
      <c r="P36" s="157" t="s">
        <v>90</v>
      </c>
      <c r="Q36" s="157" t="str">
        <f>"2 "&amp;J16</f>
        <v>2 yn-2</v>
      </c>
      <c r="R36" s="157"/>
      <c r="S36" s="157" t="s">
        <v>90</v>
      </c>
      <c r="T36" s="157" t="str">
        <f>"4 "&amp;K16</f>
        <v>4 yn-1</v>
      </c>
      <c r="U36" s="157"/>
      <c r="V36" s="157" t="s">
        <v>90</v>
      </c>
      <c r="W36" s="157" t="str">
        <f>L16</f>
        <v>yn</v>
      </c>
      <c r="X36" s="157" t="s">
        <v>84</v>
      </c>
      <c r="Y36" s="19"/>
      <c r="Z36" s="19"/>
    </row>
    <row r="37" spans="1:26" ht="11.25" customHeight="1">
      <c r="A37" s="3"/>
      <c r="B37" s="19"/>
      <c r="C37" s="19"/>
      <c r="D37" s="173"/>
      <c r="E37" s="157"/>
      <c r="F37" s="83">
        <v>3</v>
      </c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9"/>
      <c r="Z37" s="19"/>
    </row>
    <row r="38" spans="1:26" ht="11.2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1.25" customHeight="1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1.25" customHeight="1">
      <c r="A41" s="3"/>
      <c r="B41" s="19"/>
      <c r="C41" s="19"/>
      <c r="D41" s="81" t="s">
        <v>351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8" ht="11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81" t="str">
        <f>D13</f>
        <v>Trapezoidal Rule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7" ht="11.25" customHeight="1">
      <c r="A43" s="3"/>
      <c r="B43" s="19"/>
      <c r="C43" s="19"/>
      <c r="D43" s="188" t="s">
        <v>348</v>
      </c>
      <c r="E43" s="18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44"/>
    </row>
    <row r="44" spans="1:27" ht="11.25" customHeight="1">
      <c r="A44" s="3"/>
      <c r="B44" s="19"/>
      <c r="C44" s="19"/>
      <c r="D44" s="19"/>
      <c r="E44" s="19"/>
      <c r="F44" s="82">
        <v>1</v>
      </c>
      <c r="G44" s="82">
        <v>2</v>
      </c>
      <c r="H44" s="82">
        <v>3</v>
      </c>
      <c r="I44" s="82">
        <v>2</v>
      </c>
      <c r="J44" s="82">
        <v>1</v>
      </c>
      <c r="K44" s="16" t="s">
        <v>312</v>
      </c>
      <c r="L44" s="19"/>
      <c r="M44" s="173" t="s">
        <v>316</v>
      </c>
      <c r="N44" s="157" t="s">
        <v>317</v>
      </c>
      <c r="O44" s="16">
        <f>(J50-F50)/(F53-1)</f>
        <v>1</v>
      </c>
      <c r="P44" s="157" t="s">
        <v>115</v>
      </c>
      <c r="Q44" s="157">
        <f>F44</f>
        <v>1</v>
      </c>
      <c r="R44" s="157" t="s">
        <v>90</v>
      </c>
      <c r="S44" s="157">
        <f>2*G44</f>
        <v>4</v>
      </c>
      <c r="T44" s="157" t="s">
        <v>90</v>
      </c>
      <c r="U44" s="157">
        <f>2*H44</f>
        <v>6</v>
      </c>
      <c r="V44" s="157" t="s">
        <v>90</v>
      </c>
      <c r="W44" s="157">
        <f>2*I44</f>
        <v>4</v>
      </c>
      <c r="X44" s="157" t="s">
        <v>90</v>
      </c>
      <c r="Y44" s="157">
        <f>J44</f>
        <v>1</v>
      </c>
      <c r="Z44" s="157" t="s">
        <v>84</v>
      </c>
      <c r="AA44" s="19"/>
    </row>
    <row r="45" spans="1:29" ht="11.25" customHeight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73"/>
      <c r="N45" s="157"/>
      <c r="O45" s="83">
        <v>2</v>
      </c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9"/>
      <c r="AB45" s="166" t="s">
        <v>353</v>
      </c>
      <c r="AC45" s="166"/>
    </row>
    <row r="46" spans="1:29" ht="11.25" customHeight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6" t="s">
        <v>317</v>
      </c>
      <c r="O46" s="19"/>
      <c r="P46" s="19"/>
      <c r="Q46" s="19"/>
      <c r="R46" s="19"/>
      <c r="S46" s="19"/>
      <c r="T46" s="19"/>
      <c r="U46" s="19"/>
      <c r="V46" s="19"/>
      <c r="W46" s="202">
        <f>O44/O45*(Q44+S44+U44+W44+Y44)</f>
        <v>8</v>
      </c>
      <c r="X46" s="202"/>
      <c r="Y46" s="19"/>
      <c r="Z46" s="19"/>
      <c r="AA46" s="19"/>
      <c r="AB46" s="203">
        <f>integral(1,F53,F50,G50,H50,I50,J50,X6,X7,X8,X9,X10,F44,G44,H44,I44,J44,Y6,Y7,Y8,Y9,Y10)</f>
        <v>8</v>
      </c>
      <c r="AC46" s="203"/>
    </row>
    <row r="47" spans="1:29" ht="11.2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47" t="s">
        <v>354</v>
      </c>
      <c r="N47" s="16" t="s">
        <v>355</v>
      </c>
      <c r="O47" s="188" t="str">
        <f>M44</f>
        <v>I</v>
      </c>
      <c r="P47" s="188"/>
      <c r="Q47" s="16" t="s">
        <v>356</v>
      </c>
      <c r="R47" s="16">
        <f>J50</f>
        <v>5</v>
      </c>
      <c r="S47" s="16" t="s">
        <v>357</v>
      </c>
      <c r="T47" s="16">
        <f>F50</f>
        <v>1</v>
      </c>
      <c r="U47" s="16" t="s">
        <v>358</v>
      </c>
      <c r="V47" s="16" t="s">
        <v>355</v>
      </c>
      <c r="W47" s="202">
        <f>W46/(R47-T47)</f>
        <v>2</v>
      </c>
      <c r="X47" s="202"/>
      <c r="Y47" s="19"/>
      <c r="Z47" s="19"/>
      <c r="AA47" s="19"/>
      <c r="AB47" s="203">
        <f>integral(2,F53,F50,G50,H50,I50,J50,X6,X7,X8,X9,X10,F44,G44,H44,I44,J44,Y6,Y7,Y8,Y9,Y10)</f>
        <v>2</v>
      </c>
      <c r="AC47" s="203"/>
    </row>
    <row r="48" spans="1:26" ht="11.2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8" ht="11.25" customHeight="1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 t="s">
        <v>76</v>
      </c>
      <c r="M49" s="81" t="str">
        <f>D34</f>
        <v>Simpson's Rule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7" ht="11.25" customHeight="1">
      <c r="A50" s="3"/>
      <c r="B50" s="19"/>
      <c r="C50" s="19"/>
      <c r="D50" s="19"/>
      <c r="E50" s="19"/>
      <c r="F50" s="82">
        <v>1</v>
      </c>
      <c r="G50" s="16">
        <f>F50+(J50-F50)/(F53-1)*1</f>
        <v>2</v>
      </c>
      <c r="H50" s="16">
        <f>F50+(J50-F50)/(F53-1)*2</f>
        <v>3</v>
      </c>
      <c r="I50" s="16">
        <f>F50+(J50-F50)/(F53-1)*3</f>
        <v>4</v>
      </c>
      <c r="J50" s="82">
        <v>5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6"/>
    </row>
    <row r="51" spans="1:28" ht="11.25" customHeight="1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73" t="s">
        <v>316</v>
      </c>
      <c r="N51" s="157" t="s">
        <v>317</v>
      </c>
      <c r="O51" s="16">
        <f>(J50-F50)/(F53-1)</f>
        <v>1</v>
      </c>
      <c r="P51" s="157" t="s">
        <v>115</v>
      </c>
      <c r="Q51" s="157">
        <f>F44</f>
        <v>1</v>
      </c>
      <c r="R51" s="157" t="s">
        <v>90</v>
      </c>
      <c r="S51" s="157">
        <f>4*G44</f>
        <v>8</v>
      </c>
      <c r="T51" s="157" t="s">
        <v>90</v>
      </c>
      <c r="U51" s="157">
        <f>2*H44</f>
        <v>6</v>
      </c>
      <c r="V51" s="157" t="s">
        <v>90</v>
      </c>
      <c r="W51" s="157">
        <f>4*I44</f>
        <v>8</v>
      </c>
      <c r="X51" s="157" t="s">
        <v>90</v>
      </c>
      <c r="Y51" s="157">
        <f>J44</f>
        <v>1</v>
      </c>
      <c r="Z51" s="157" t="s">
        <v>84</v>
      </c>
      <c r="AA51" s="19"/>
      <c r="AB51" s="19"/>
    </row>
    <row r="52" spans="1:28" ht="11.25" customHeight="1">
      <c r="A52" s="3"/>
      <c r="B52" s="19"/>
      <c r="C52" s="19"/>
      <c r="D52" s="19"/>
      <c r="E52" s="19"/>
      <c r="F52" s="85" t="s">
        <v>352</v>
      </c>
      <c r="G52" s="19"/>
      <c r="H52" s="19"/>
      <c r="I52" s="19"/>
      <c r="J52" s="19"/>
      <c r="K52" s="19"/>
      <c r="L52" s="19"/>
      <c r="M52" s="173"/>
      <c r="N52" s="157"/>
      <c r="O52" s="83">
        <v>3</v>
      </c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9"/>
      <c r="AB52" s="19"/>
    </row>
    <row r="53" spans="1:29" ht="11.25" customHeight="1">
      <c r="A53" s="3"/>
      <c r="B53" s="19"/>
      <c r="C53" s="19"/>
      <c r="D53" s="19"/>
      <c r="E53" s="19"/>
      <c r="F53" s="82">
        <v>5</v>
      </c>
      <c r="G53" s="19"/>
      <c r="H53" s="19"/>
      <c r="I53" s="19"/>
      <c r="J53" s="19"/>
      <c r="K53" s="19"/>
      <c r="L53" s="19"/>
      <c r="M53" s="19"/>
      <c r="N53" s="16" t="s">
        <v>317</v>
      </c>
      <c r="O53" s="19"/>
      <c r="P53" s="19"/>
      <c r="Q53" s="19"/>
      <c r="R53" s="19"/>
      <c r="S53" s="19"/>
      <c r="T53" s="19"/>
      <c r="U53" s="19"/>
      <c r="V53" s="19"/>
      <c r="W53" s="202">
        <f>O51/O52*(Q51+S51+U51+W51+Y51)</f>
        <v>8</v>
      </c>
      <c r="X53" s="202"/>
      <c r="Y53" s="19"/>
      <c r="Z53" s="19"/>
      <c r="AA53" s="19"/>
      <c r="AB53" s="203">
        <f>integral_Simpson(1,F53,F50,G50,H50,I50,J50,X6,X7,X8,X9,X10,F44,G44,H44,I44,J44,Y6,Y7,Y8,Y9,Y10)</f>
        <v>8</v>
      </c>
      <c r="AC53" s="203"/>
    </row>
    <row r="54" spans="1:29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47" t="s">
        <v>354</v>
      </c>
      <c r="N54" s="16" t="s">
        <v>355</v>
      </c>
      <c r="O54" s="188" t="str">
        <f>M51</f>
        <v>I</v>
      </c>
      <c r="P54" s="188"/>
      <c r="Q54" s="16" t="s">
        <v>356</v>
      </c>
      <c r="R54" s="16">
        <f>J50</f>
        <v>5</v>
      </c>
      <c r="S54" s="16" t="s">
        <v>357</v>
      </c>
      <c r="T54" s="16">
        <f>F50</f>
        <v>1</v>
      </c>
      <c r="U54" s="16" t="s">
        <v>358</v>
      </c>
      <c r="V54" s="16" t="s">
        <v>355</v>
      </c>
      <c r="W54" s="202">
        <f>W53/(R54-T54)</f>
        <v>2</v>
      </c>
      <c r="X54" s="202"/>
      <c r="Y54" s="19"/>
      <c r="Z54" s="19"/>
      <c r="AB54" s="203">
        <f>integral_Simpson(2,F53,F50,G50,H50,I50,J50,X6,X7,X8,X9,X10,F44,G44,H44,I44,J44,Y6,Y7,Y8,Y9,Y10)</f>
        <v>2</v>
      </c>
      <c r="AC54" s="203"/>
    </row>
    <row r="55" spans="1:26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</sheetData>
  <mergeCells count="98">
    <mergeCell ref="O54:P54"/>
    <mergeCell ref="W54:X54"/>
    <mergeCell ref="AB47:AC47"/>
    <mergeCell ref="AB54:AC54"/>
    <mergeCell ref="W51:W52"/>
    <mergeCell ref="X51:X52"/>
    <mergeCell ref="Q51:Q52"/>
    <mergeCell ref="R51:R52"/>
    <mergeCell ref="S51:S52"/>
    <mergeCell ref="T51:T52"/>
    <mergeCell ref="AB53:AC53"/>
    <mergeCell ref="O47:P47"/>
    <mergeCell ref="W47:X47"/>
    <mergeCell ref="Y51:Y52"/>
    <mergeCell ref="Z51:Z52"/>
    <mergeCell ref="W53:X53"/>
    <mergeCell ref="U51:U52"/>
    <mergeCell ref="V51:V52"/>
    <mergeCell ref="M51:M52"/>
    <mergeCell ref="N51:N52"/>
    <mergeCell ref="P51:P52"/>
    <mergeCell ref="AB45:AC45"/>
    <mergeCell ref="AB46:AC46"/>
    <mergeCell ref="X44:X45"/>
    <mergeCell ref="Y44:Y45"/>
    <mergeCell ref="Z44:Z45"/>
    <mergeCell ref="W46:X46"/>
    <mergeCell ref="T44:T45"/>
    <mergeCell ref="U44:U45"/>
    <mergeCell ref="V44:V45"/>
    <mergeCell ref="W44:W45"/>
    <mergeCell ref="P44:P45"/>
    <mergeCell ref="Q44:Q45"/>
    <mergeCell ref="R44:R45"/>
    <mergeCell ref="S44:S45"/>
    <mergeCell ref="M44:M45"/>
    <mergeCell ref="D15:E15"/>
    <mergeCell ref="F23:G23"/>
    <mergeCell ref="K23:L23"/>
    <mergeCell ref="D26:D27"/>
    <mergeCell ref="G26:G27"/>
    <mergeCell ref="K26:K27"/>
    <mergeCell ref="L26:L27"/>
    <mergeCell ref="N44:N45"/>
    <mergeCell ref="X4:Y4"/>
    <mergeCell ref="W1:Z1"/>
    <mergeCell ref="W2:Z2"/>
    <mergeCell ref="D43:E43"/>
    <mergeCell ref="F26:F27"/>
    <mergeCell ref="M26:M27"/>
    <mergeCell ref="N26:N27"/>
    <mergeCell ref="B1:S2"/>
    <mergeCell ref="B3:S4"/>
    <mergeCell ref="R26:R27"/>
    <mergeCell ref="E28:E29"/>
    <mergeCell ref="F28:F29"/>
    <mergeCell ref="G28:G29"/>
    <mergeCell ref="K28:K29"/>
    <mergeCell ref="L28:L29"/>
    <mergeCell ref="M28:M29"/>
    <mergeCell ref="N28:N29"/>
    <mergeCell ref="R28:R29"/>
    <mergeCell ref="E26:E27"/>
    <mergeCell ref="S26:S27"/>
    <mergeCell ref="T26:U27"/>
    <mergeCell ref="E30:E31"/>
    <mergeCell ref="G30:G31"/>
    <mergeCell ref="H30:H31"/>
    <mergeCell ref="I30:I31"/>
    <mergeCell ref="J30:J31"/>
    <mergeCell ref="K30:K31"/>
    <mergeCell ref="L30:L31"/>
    <mergeCell ref="N30:O31"/>
    <mergeCell ref="M30:M31"/>
    <mergeCell ref="P30:P31"/>
    <mergeCell ref="Q30:R31"/>
    <mergeCell ref="S30:S31"/>
    <mergeCell ref="T30:U31"/>
    <mergeCell ref="V30:V31"/>
    <mergeCell ref="W30:W31"/>
    <mergeCell ref="X30:X31"/>
    <mergeCell ref="D36:D37"/>
    <mergeCell ref="E36:E37"/>
    <mergeCell ref="G36:G37"/>
    <mergeCell ref="H36:H37"/>
    <mergeCell ref="I36:I37"/>
    <mergeCell ref="J36:J37"/>
    <mergeCell ref="K36:K37"/>
    <mergeCell ref="L36:L37"/>
    <mergeCell ref="M36:M37"/>
    <mergeCell ref="N36:O37"/>
    <mergeCell ref="P36:P37"/>
    <mergeCell ref="Q36:R37"/>
    <mergeCell ref="X36:X37"/>
    <mergeCell ref="S36:S37"/>
    <mergeCell ref="T36:U37"/>
    <mergeCell ref="V36:V37"/>
    <mergeCell ref="W36:W37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/>
  <dimension ref="A1:Z64"/>
  <sheetViews>
    <sheetView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58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59</v>
      </c>
      <c r="U2" s="7"/>
      <c r="V2" s="76"/>
      <c r="W2" s="117" t="s">
        <v>65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66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34</v>
      </c>
      <c r="U4" s="17"/>
      <c r="V4" s="78"/>
      <c r="W4" s="80" t="s">
        <v>29</v>
      </c>
      <c r="X4" s="148" t="s">
        <v>35</v>
      </c>
      <c r="Y4" s="148"/>
      <c r="Z4" s="38">
        <f>sheetqty</f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71" t="s">
        <v>68</v>
      </c>
      <c r="D7" s="20" t="s">
        <v>69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1.25" customHeight="1">
      <c r="A9" s="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 customHeight="1">
      <c r="A10" s="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1.25" customHeight="1">
      <c r="A11" s="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1.25" customHeight="1">
      <c r="A12" s="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1.25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1.25" customHeight="1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1.25" customHeight="1">
      <c r="A15" s="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1.25" customHeight="1">
      <c r="A16" s="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1.25" customHeight="1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1.25" customHeight="1">
      <c r="A18" s="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1.25" customHeight="1">
      <c r="A19" s="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1.25" customHeight="1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1.25" customHeight="1">
      <c r="A21" s="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1.25" customHeight="1">
      <c r="A22" s="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1.25" customHeight="1">
      <c r="A23" s="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1.25" customHeight="1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1.25" customHeight="1">
      <c r="A25" s="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1.25" customHeight="1">
      <c r="A26" s="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1.25" customHeight="1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1.25" customHeigh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1.25" customHeight="1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1.25" customHeight="1">
      <c r="A30" s="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1.25" customHeight="1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1.25" customHeight="1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1.25" customHeight="1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1.25" customHeight="1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1.25" customHeight="1">
      <c r="A36" s="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1.2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1.25" customHeight="1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1.25" customHeight="1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1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1.25" customHeight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1.25" customHeight="1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</sheetData>
  <mergeCells count="5">
    <mergeCell ref="B1:S2"/>
    <mergeCell ref="B3:S4"/>
    <mergeCell ref="X4:Y4"/>
    <mergeCell ref="W1:Z1"/>
    <mergeCell ref="W2:Z2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A1:U65"/>
  <sheetViews>
    <sheetView view="pageBreakPreview" zoomScaleSheetLayoutView="100" workbookViewId="0" topLeftCell="A1">
      <selection activeCell="Q9" sqref="Q9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204" t="s">
        <v>15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6"/>
    </row>
    <row r="2" spans="2:21" ht="11.25" customHeight="1"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7"/>
    </row>
    <row r="3" spans="1:21" ht="11.25" customHeight="1">
      <c r="A3" s="3">
        <v>1</v>
      </c>
      <c r="B3" s="4" t="s">
        <v>4</v>
      </c>
      <c r="C3" s="5"/>
      <c r="D3" s="5"/>
      <c r="E3" s="25" t="e">
        <f>project</f>
        <v>#NAME?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5</v>
      </c>
      <c r="Q3" s="11"/>
      <c r="R3" s="207" t="e">
        <f>jobno</f>
        <v>#NAME?</v>
      </c>
      <c r="S3" s="207"/>
      <c r="T3" s="207"/>
      <c r="U3" s="208"/>
    </row>
    <row r="4" spans="1:21" ht="11.25" customHeight="1">
      <c r="A4" s="3">
        <v>2</v>
      </c>
      <c r="B4" s="6" t="s">
        <v>6</v>
      </c>
      <c r="C4" s="7"/>
      <c r="D4" s="7"/>
      <c r="E4" s="26" t="e">
        <f>client</f>
        <v>#NAME?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7</v>
      </c>
      <c r="Q4" s="7"/>
      <c r="R4" s="110" t="s">
        <v>16</v>
      </c>
      <c r="S4" s="110"/>
      <c r="T4" s="110"/>
      <c r="U4" s="209"/>
    </row>
    <row r="5" spans="1:21" ht="11.25" customHeight="1">
      <c r="A5" s="3">
        <v>3</v>
      </c>
      <c r="B5" s="6" t="s">
        <v>8</v>
      </c>
      <c r="C5" s="7"/>
      <c r="D5" s="7"/>
      <c r="E5" s="26" t="e">
        <f>contractor</f>
        <v>#NAME?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9</v>
      </c>
      <c r="Q5" s="7"/>
      <c r="R5" s="151" t="s">
        <v>22</v>
      </c>
      <c r="S5" s="151"/>
      <c r="T5" s="151"/>
      <c r="U5" s="152"/>
    </row>
    <row r="6" spans="1:21" ht="11.25" customHeight="1">
      <c r="A6" s="3">
        <v>4</v>
      </c>
      <c r="B6" s="9" t="s">
        <v>10</v>
      </c>
      <c r="C6" s="8"/>
      <c r="D6" s="8"/>
      <c r="E6" s="27" t="e">
        <f>code</f>
        <v>#NAME?</v>
      </c>
      <c r="F6" s="8"/>
      <c r="G6" s="8"/>
      <c r="H6" s="8"/>
      <c r="I6" s="8"/>
      <c r="J6" s="8"/>
      <c r="K6" s="8"/>
      <c r="L6" s="8"/>
      <c r="M6" s="8"/>
      <c r="N6" s="8"/>
      <c r="O6" s="8"/>
      <c r="P6" s="21" t="s">
        <v>11</v>
      </c>
      <c r="Q6" s="21"/>
      <c r="R6" s="22">
        <v>0</v>
      </c>
      <c r="S6" s="23"/>
      <c r="T6" s="23"/>
      <c r="U6" s="24"/>
    </row>
    <row r="7" spans="1:21" ht="11.25" customHeight="1">
      <c r="A7" s="3">
        <v>5</v>
      </c>
      <c r="B7" s="10" t="s">
        <v>12</v>
      </c>
      <c r="C7" s="11"/>
      <c r="D7" s="11"/>
      <c r="E7" s="28" t="e">
        <f>service</f>
        <v>#NAME?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13</v>
      </c>
      <c r="Q7" s="11"/>
      <c r="R7" s="127" t="e">
        <f>itemno</f>
        <v>#NAME?</v>
      </c>
      <c r="S7" s="127"/>
      <c r="T7" s="127"/>
      <c r="U7" s="150"/>
    </row>
    <row r="8" spans="1:21" ht="11.25" customHeight="1">
      <c r="A8" s="3">
        <v>6</v>
      </c>
      <c r="B8" s="6" t="s">
        <v>14</v>
      </c>
      <c r="C8" s="7"/>
      <c r="D8" s="7"/>
      <c r="E8" s="26" t="e">
        <f>type</f>
        <v>#NAME?</v>
      </c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7" t="s">
        <v>23</v>
      </c>
      <c r="Q9" s="17"/>
      <c r="R9" s="32">
        <v>1</v>
      </c>
      <c r="S9" s="148" t="s">
        <v>24</v>
      </c>
      <c r="T9" s="148"/>
      <c r="U9" s="33">
        <v>1</v>
      </c>
    </row>
    <row r="10" spans="1:21" ht="11.25" customHeight="1">
      <c r="A10" s="3">
        <v>8</v>
      </c>
      <c r="B10" s="210" t="s">
        <v>3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</row>
    <row r="11" spans="1:21" ht="11.25" customHeight="1">
      <c r="A11" s="3">
        <v>9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3"/>
    </row>
    <row r="12" spans="1:21" ht="11.25" customHeight="1">
      <c r="A12" s="3">
        <v>10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"/>
    </row>
    <row r="13" spans="1:21" ht="11.25" customHeight="1">
      <c r="A13" s="3">
        <v>11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</row>
    <row r="16" spans="1:21" ht="11.25" customHeight="1">
      <c r="A16" s="3">
        <v>14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</row>
    <row r="17" spans="1:21" ht="11.25" customHeight="1">
      <c r="A17" s="3">
        <v>15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</row>
    <row r="20" spans="1:21" ht="11.25" customHeight="1">
      <c r="A20" s="3">
        <v>18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"/>
    </row>
    <row r="21" spans="1:21" ht="11.25" customHeight="1">
      <c r="A21" s="3">
        <v>19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"/>
    </row>
    <row r="22" spans="1:21" ht="11.25" customHeight="1">
      <c r="A22" s="3">
        <v>20</v>
      </c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</row>
    <row r="23" spans="1:21" ht="11.25" customHeight="1">
      <c r="A23" s="3">
        <v>21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"/>
    </row>
    <row r="24" spans="1:21" ht="11.25" customHeight="1">
      <c r="A24" s="3">
        <v>22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"/>
    </row>
    <row r="25" spans="1:21" ht="11.25" customHeight="1">
      <c r="A25" s="3">
        <v>23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"/>
    </row>
    <row r="26" spans="1:21" ht="11.25" customHeight="1">
      <c r="A26" s="3">
        <v>24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</row>
    <row r="27" spans="1:21" ht="11.25" customHeight="1">
      <c r="A27" s="3">
        <v>25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"/>
    </row>
    <row r="28" spans="1:21" ht="11.25" customHeight="1">
      <c r="A28" s="3">
        <v>26</v>
      </c>
      <c r="B28" s="210" t="s">
        <v>18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2"/>
    </row>
    <row r="29" spans="1:21" ht="11.25" customHeight="1">
      <c r="A29" s="3">
        <v>27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"/>
    </row>
    <row r="30" spans="1:21" ht="11.25" customHeight="1">
      <c r="A30" s="3">
        <v>28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"/>
    </row>
    <row r="31" spans="1:21" ht="11.25" customHeight="1">
      <c r="A31" s="3">
        <v>29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</row>
    <row r="32" spans="1:21" ht="11.25" customHeight="1">
      <c r="A32" s="3">
        <v>30</v>
      </c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2"/>
    </row>
    <row r="33" spans="1:21" ht="11.25" customHeight="1">
      <c r="A33" s="3">
        <v>31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"/>
    </row>
    <row r="34" spans="1:21" ht="11.25" customHeight="1">
      <c r="A34" s="3">
        <v>32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"/>
    </row>
    <row r="35" spans="1:21" ht="11.25" customHeight="1">
      <c r="A35" s="3">
        <v>33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ht="11.25" customHeight="1">
      <c r="A36" s="3">
        <v>34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"/>
    </row>
    <row r="37" spans="1:21" ht="11.25" customHeight="1">
      <c r="A37" s="3">
        <v>35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ht="11.25" customHeight="1">
      <c r="A38" s="3">
        <v>36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ht="11.25" customHeight="1">
      <c r="A39" s="3">
        <v>37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21" ht="11.25" customHeight="1">
      <c r="A40" s="3">
        <v>38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ht="11.25" customHeight="1">
      <c r="A41" s="3">
        <v>39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11.25" customHeight="1">
      <c r="A42" s="3">
        <v>40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ht="11.25" customHeight="1">
      <c r="A43" s="3">
        <v>41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11.25" customHeight="1">
      <c r="A44" s="3">
        <v>42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</row>
    <row r="45" spans="1:21" ht="11.25" customHeight="1">
      <c r="A45" s="3">
        <v>43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1.25" customHeight="1">
      <c r="A46" s="3">
        <v>44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"/>
    </row>
    <row r="47" spans="1:21" ht="11.25" customHeight="1">
      <c r="A47" s="3">
        <v>45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1.25" customHeight="1">
      <c r="A48" s="3">
        <v>46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1.25" customHeight="1">
      <c r="A49" s="3">
        <v>47</v>
      </c>
      <c r="B49" s="134" t="s">
        <v>17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</row>
    <row r="50" spans="1:21" ht="11.25" customHeight="1">
      <c r="A50" s="3">
        <v>48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</row>
    <row r="51" spans="1:21" ht="11.25" customHeight="1">
      <c r="A51" s="3">
        <v>49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</row>
    <row r="52" spans="1:21" ht="11.25" customHeight="1">
      <c r="A52" s="3">
        <v>50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</row>
    <row r="53" spans="1:21" ht="11.25" customHeight="1">
      <c r="A53" s="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ht="11.25" customHeight="1">
      <c r="A54" s="3">
        <v>52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</row>
    <row r="55" spans="1:21" ht="11.25" customHeight="1">
      <c r="A55" s="3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ht="11.25" customHeight="1">
      <c r="A56" s="3">
        <v>54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</row>
    <row r="57" spans="1:21" ht="11.25" customHeight="1">
      <c r="A57" s="3">
        <v>55</v>
      </c>
      <c r="B57" s="14" t="s">
        <v>21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</row>
    <row r="58" spans="1:21" ht="11.25" customHeight="1">
      <c r="A58" s="3">
        <v>56</v>
      </c>
      <c r="B58" s="30" t="s">
        <v>19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30" t="s">
        <v>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30" t="s">
        <v>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30" t="s">
        <v>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31" t="s">
        <v>20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9" t="str">
        <f>coname</f>
        <v>Narai  Thermal  Engineering  Services </v>
      </c>
    </row>
    <row r="64" ht="11.25" customHeight="1">
      <c r="A64" s="3"/>
    </row>
    <row r="65" ht="11.25" customHeight="1">
      <c r="A65" s="3"/>
    </row>
  </sheetData>
  <mergeCells count="9">
    <mergeCell ref="R7:U7"/>
    <mergeCell ref="B10:U10"/>
    <mergeCell ref="B28:U28"/>
    <mergeCell ref="B49:U49"/>
    <mergeCell ref="S9:T9"/>
    <mergeCell ref="B1:U2"/>
    <mergeCell ref="R3:U3"/>
    <mergeCell ref="R4:U4"/>
    <mergeCell ref="R5:U5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63"/>
  <sheetViews>
    <sheetView view="pageBreakPreview" zoomScaleSheetLayoutView="100" workbookViewId="0" topLeftCell="A1">
      <selection activeCell="S6" sqref="S6"/>
    </sheetView>
  </sheetViews>
  <sheetFormatPr defaultColWidth="8.88671875" defaultRowHeight="13.5"/>
  <cols>
    <col min="1" max="52" width="2.77734375" style="2" customWidth="1"/>
    <col min="53" max="16384" width="8.88671875" style="2" customWidth="1"/>
  </cols>
  <sheetData>
    <row r="1" spans="1:32" ht="11.25" customHeight="1">
      <c r="A1" s="52"/>
      <c r="B1" s="52" t="str">
        <f>title2&amp;"  :"</f>
        <v>Technical   Material  :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54" t="s">
        <v>58</v>
      </c>
      <c r="V1" s="55"/>
      <c r="W1" s="56"/>
      <c r="X1" s="128" t="str">
        <f>docno</f>
        <v>TM - MFN - 100</v>
      </c>
      <c r="Y1" s="128"/>
      <c r="Z1" s="128"/>
      <c r="AA1" s="128"/>
      <c r="AB1" s="128"/>
      <c r="AC1" s="46"/>
      <c r="AD1" s="57"/>
      <c r="AE1" s="57"/>
      <c r="AF1" s="57"/>
    </row>
    <row r="2" spans="1:32" ht="11.25" customHeight="1">
      <c r="A2" s="130" t="str">
        <f>title</f>
        <v>M A T H E M A T I C     F U N C T I O N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58" t="s">
        <v>59</v>
      </c>
      <c r="V2" s="59"/>
      <c r="W2" s="60"/>
      <c r="X2" s="129" t="s">
        <v>65</v>
      </c>
      <c r="Y2" s="129"/>
      <c r="Z2" s="129"/>
      <c r="AA2" s="129"/>
      <c r="AB2" s="129"/>
      <c r="AC2" s="61"/>
      <c r="AD2" s="57"/>
      <c r="AE2" s="57"/>
      <c r="AF2" s="57"/>
    </row>
    <row r="3" spans="1:32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U3" s="58" t="s">
        <v>33</v>
      </c>
      <c r="V3" s="59"/>
      <c r="W3" s="60"/>
      <c r="X3" s="62">
        <v>0</v>
      </c>
      <c r="Y3" s="63"/>
      <c r="Z3" s="63"/>
      <c r="AA3" s="63"/>
      <c r="AB3" s="64"/>
      <c r="AC3" s="61"/>
      <c r="AD3" s="57"/>
      <c r="AE3" s="57"/>
      <c r="AF3" s="57"/>
    </row>
    <row r="4" spans="1:32" ht="11.2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3"/>
      <c r="U4" s="65" t="s">
        <v>34</v>
      </c>
      <c r="V4" s="66"/>
      <c r="W4" s="67"/>
      <c r="X4" s="66"/>
      <c r="Y4" s="68">
        <v>1</v>
      </c>
      <c r="Z4" s="40" t="s">
        <v>35</v>
      </c>
      <c r="AA4" s="37">
        <v>1</v>
      </c>
      <c r="AB4" s="66"/>
      <c r="AC4" s="46"/>
      <c r="AD4" s="57"/>
      <c r="AE4" s="57"/>
      <c r="AF4" s="57"/>
    </row>
    <row r="5" spans="1:32" ht="11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0"/>
      <c r="V5" s="70"/>
      <c r="W5" s="70"/>
      <c r="X5" s="70"/>
      <c r="Y5" s="70"/>
      <c r="Z5" s="70"/>
      <c r="AA5" s="70"/>
      <c r="AB5" s="70"/>
      <c r="AC5" s="46"/>
      <c r="AD5" s="57"/>
      <c r="AE5" s="57"/>
      <c r="AF5" s="57"/>
    </row>
    <row r="6" spans="1:32" ht="11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0"/>
      <c r="W6" s="70"/>
      <c r="X6" s="70"/>
      <c r="Y6" s="70"/>
      <c r="Z6" s="70"/>
      <c r="AA6" s="70"/>
      <c r="AB6" s="70"/>
      <c r="AC6" s="46"/>
      <c r="AD6" s="57"/>
      <c r="AE6" s="57"/>
      <c r="AF6" s="57"/>
    </row>
    <row r="7" spans="1:29" ht="11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  <c r="V7" s="70"/>
      <c r="W7" s="70"/>
      <c r="X7" s="70"/>
      <c r="Y7" s="70"/>
      <c r="Z7" s="70"/>
      <c r="AA7" s="70"/>
      <c r="AB7" s="70"/>
      <c r="AC7" s="70"/>
    </row>
    <row r="8" spans="1:29" ht="11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0"/>
      <c r="W8" s="70"/>
      <c r="X8" s="70"/>
      <c r="Y8" s="70"/>
      <c r="Z8" s="70"/>
      <c r="AA8" s="70"/>
      <c r="AB8" s="70"/>
      <c r="AC8" s="70"/>
    </row>
    <row r="9" spans="1:29" ht="11.2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70"/>
      <c r="W9" s="70"/>
      <c r="X9" s="70"/>
      <c r="Y9" s="70"/>
      <c r="Z9" s="70"/>
      <c r="AA9" s="70"/>
      <c r="AB9" s="70"/>
      <c r="AC9" s="70"/>
    </row>
    <row r="10" spans="1:29" ht="11.25" customHeight="1">
      <c r="A10" s="19"/>
      <c r="B10" s="19"/>
      <c r="C10" s="19"/>
      <c r="D10" s="19"/>
      <c r="E10" s="19"/>
      <c r="F10" s="122" t="s">
        <v>60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9"/>
      <c r="S10" s="19"/>
      <c r="T10" s="19"/>
      <c r="U10" s="19"/>
      <c r="V10" s="70"/>
      <c r="W10" s="70"/>
      <c r="X10" s="70"/>
      <c r="Y10" s="70"/>
      <c r="Z10" s="70"/>
      <c r="AA10" s="70"/>
      <c r="AB10" s="70"/>
      <c r="AC10" s="70"/>
    </row>
    <row r="11" spans="1:29" ht="11.25" customHeight="1">
      <c r="A11" s="19"/>
      <c r="B11" s="19"/>
      <c r="C11" s="19"/>
      <c r="D11" s="19"/>
      <c r="E11" s="19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9"/>
      <c r="S11" s="19"/>
      <c r="T11" s="19"/>
      <c r="U11" s="19"/>
      <c r="V11" s="70"/>
      <c r="W11" s="70"/>
      <c r="X11" s="70"/>
      <c r="Y11" s="70"/>
      <c r="Z11" s="70"/>
      <c r="AA11" s="70"/>
      <c r="AB11" s="70"/>
      <c r="AC11" s="70"/>
    </row>
    <row r="12" spans="1:29" ht="11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70"/>
      <c r="W12" s="70"/>
      <c r="X12" s="70"/>
      <c r="Y12" s="70"/>
      <c r="Z12" s="70"/>
      <c r="AA12" s="70"/>
      <c r="AB12" s="70"/>
      <c r="AC12" s="70"/>
    </row>
    <row r="13" spans="1:21" ht="11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9" ht="11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70"/>
      <c r="W14" s="70"/>
      <c r="X14" s="70"/>
      <c r="Y14" s="70"/>
      <c r="Z14" s="70"/>
      <c r="AA14" s="70"/>
      <c r="AB14" s="70"/>
      <c r="AC14" s="70"/>
    </row>
    <row r="15" spans="1:29" ht="11.25" customHeight="1">
      <c r="A15" s="19"/>
      <c r="B15" s="19"/>
      <c r="C15" s="19"/>
      <c r="D15" s="19"/>
      <c r="E15" s="19"/>
      <c r="F15" s="71" t="s">
        <v>36</v>
      </c>
      <c r="G15" s="19"/>
      <c r="H15" s="35" t="str">
        <f>toc1</f>
        <v>Introduction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70"/>
      <c r="W15" s="70"/>
      <c r="X15" s="70"/>
      <c r="Y15" s="70"/>
      <c r="Z15" s="70"/>
      <c r="AA15" s="70"/>
      <c r="AB15" s="70"/>
      <c r="AC15" s="70"/>
    </row>
    <row r="16" spans="1:29" ht="11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70"/>
      <c r="W16" s="70"/>
      <c r="X16" s="70"/>
      <c r="Y16" s="70"/>
      <c r="Z16" s="70"/>
      <c r="AA16" s="70"/>
      <c r="AB16" s="70"/>
      <c r="AC16" s="70"/>
    </row>
    <row r="17" spans="1:29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70"/>
      <c r="W17" s="70"/>
      <c r="X17" s="70"/>
      <c r="Y17" s="70"/>
      <c r="Z17" s="70"/>
      <c r="AA17" s="70"/>
      <c r="AB17" s="70"/>
      <c r="AC17" s="70"/>
    </row>
    <row r="18" spans="1:29" ht="11.25" customHeight="1">
      <c r="A18" s="19"/>
      <c r="B18" s="19"/>
      <c r="C18" s="19"/>
      <c r="D18" s="19"/>
      <c r="E18" s="19"/>
      <c r="F18" s="71" t="s">
        <v>37</v>
      </c>
      <c r="G18" s="19"/>
      <c r="H18" s="35" t="str">
        <f>toc2</f>
        <v>Mathematic Constants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70"/>
      <c r="W18" s="70"/>
      <c r="X18" s="70"/>
      <c r="Y18" s="70"/>
      <c r="Z18" s="70"/>
      <c r="AA18" s="70"/>
      <c r="AB18" s="70"/>
      <c r="AC18" s="70"/>
    </row>
    <row r="19" spans="1:29" ht="11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70"/>
      <c r="W19" s="70"/>
      <c r="X19" s="70"/>
      <c r="Y19" s="70"/>
      <c r="Z19" s="70"/>
      <c r="AA19" s="70"/>
      <c r="AB19" s="70"/>
      <c r="AC19" s="70"/>
    </row>
    <row r="20" spans="1:21" ht="11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9" ht="11.25" customHeight="1">
      <c r="A21" s="19"/>
      <c r="B21" s="19"/>
      <c r="C21" s="19"/>
      <c r="D21" s="19"/>
      <c r="E21" s="19"/>
      <c r="F21" s="71" t="s">
        <v>38</v>
      </c>
      <c r="G21" s="19"/>
      <c r="H21" s="35" t="str">
        <f>toc3</f>
        <v>Trigonometry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70"/>
      <c r="W21" s="70"/>
      <c r="X21" s="70"/>
      <c r="Y21" s="70"/>
      <c r="Z21" s="70"/>
      <c r="AA21" s="70"/>
      <c r="AB21" s="70"/>
      <c r="AC21" s="70"/>
    </row>
    <row r="22" spans="1:21" ht="11.2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1.2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9" ht="11.25" customHeight="1">
      <c r="A24" s="19"/>
      <c r="B24" s="19"/>
      <c r="C24" s="19"/>
      <c r="D24" s="19"/>
      <c r="E24" s="19"/>
      <c r="F24" s="71" t="s">
        <v>39</v>
      </c>
      <c r="G24" s="19"/>
      <c r="H24" s="35" t="str">
        <f>toc4</f>
        <v>Factorial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70"/>
      <c r="W24" s="70"/>
      <c r="X24" s="70"/>
      <c r="Y24" s="70"/>
      <c r="Z24" s="70"/>
      <c r="AA24" s="70"/>
      <c r="AB24" s="70"/>
      <c r="AC24" s="70"/>
    </row>
    <row r="25" spans="1:21" ht="11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1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9" ht="11.25" customHeight="1">
      <c r="A27" s="19"/>
      <c r="B27" s="19"/>
      <c r="C27" s="19"/>
      <c r="D27" s="19"/>
      <c r="E27" s="19"/>
      <c r="F27" s="71" t="s">
        <v>204</v>
      </c>
      <c r="G27" s="19"/>
      <c r="H27" s="35" t="str">
        <f>toc5</f>
        <v>Bessel Function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70"/>
      <c r="W27" s="70"/>
      <c r="X27" s="70"/>
      <c r="Y27" s="70"/>
      <c r="Z27" s="70"/>
      <c r="AA27" s="70"/>
      <c r="AB27" s="70"/>
      <c r="AC27" s="70"/>
    </row>
    <row r="28" spans="1:21" ht="11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1.25" customHeight="1">
      <c r="A29" s="19"/>
      <c r="B29" s="19"/>
      <c r="C29" s="19"/>
      <c r="D29" s="19"/>
      <c r="E29" s="19"/>
      <c r="F29" s="19"/>
      <c r="G29" s="90" t="s">
        <v>205</v>
      </c>
      <c r="H29" s="19" t="str">
        <f>toc51</f>
        <v>Bessel Function of the First Kind,  Jα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9" ht="11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70"/>
      <c r="W30" s="70"/>
      <c r="X30" s="70"/>
      <c r="Y30" s="70"/>
      <c r="Z30" s="70"/>
      <c r="AA30" s="70"/>
      <c r="AB30" s="70"/>
      <c r="AC30" s="70"/>
    </row>
    <row r="31" spans="1:29" ht="11.25" customHeight="1">
      <c r="A31" s="19"/>
      <c r="B31" s="19"/>
      <c r="C31" s="19"/>
      <c r="D31" s="19"/>
      <c r="E31" s="19"/>
      <c r="F31" s="19"/>
      <c r="G31" s="90" t="s">
        <v>206</v>
      </c>
      <c r="H31" s="19" t="str">
        <f>toc52</f>
        <v>Bessel Function of the Second Kind,  Yα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70"/>
      <c r="W31" s="70"/>
      <c r="X31" s="70"/>
      <c r="Y31" s="70"/>
      <c r="Z31" s="70"/>
      <c r="AA31" s="70"/>
      <c r="AB31" s="70"/>
      <c r="AC31" s="70"/>
    </row>
    <row r="32" spans="1:21" ht="11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1.25" customHeight="1">
      <c r="A33" s="19"/>
      <c r="B33" s="19"/>
      <c r="C33" s="19"/>
      <c r="D33" s="19"/>
      <c r="E33" s="19"/>
      <c r="F33" s="19"/>
      <c r="G33" s="90" t="s">
        <v>207</v>
      </c>
      <c r="H33" s="19" t="str">
        <f>toc53</f>
        <v>Modified Bessel Functions,  Iα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1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1.25" customHeight="1">
      <c r="A35" s="19"/>
      <c r="B35" s="19"/>
      <c r="C35" s="19"/>
      <c r="D35" s="19"/>
      <c r="E35" s="19"/>
      <c r="F35" s="19"/>
      <c r="G35" s="90" t="s">
        <v>208</v>
      </c>
      <c r="H35" s="19" t="str">
        <f>toc54</f>
        <v>Modified Bessel Functions,  Kα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9" ht="11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70"/>
      <c r="W36" s="70"/>
      <c r="X36" s="70"/>
      <c r="Y36" s="70"/>
      <c r="Z36" s="70"/>
      <c r="AA36" s="70"/>
      <c r="AB36" s="70"/>
      <c r="AC36" s="70"/>
    </row>
    <row r="37" spans="1:21" ht="11.2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1.25" customHeight="1">
      <c r="A38" s="19"/>
      <c r="B38" s="19"/>
      <c r="C38" s="19"/>
      <c r="D38" s="19"/>
      <c r="E38" s="19"/>
      <c r="F38" s="71" t="s">
        <v>343</v>
      </c>
      <c r="G38" s="19"/>
      <c r="H38" s="35" t="str">
        <f>toc6</f>
        <v>Matrix Algebra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9" ht="11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70"/>
      <c r="W39" s="70"/>
      <c r="X39" s="70"/>
      <c r="Y39" s="70"/>
      <c r="Z39" s="70"/>
      <c r="AA39" s="70"/>
      <c r="AB39" s="70"/>
      <c r="AC39" s="70"/>
    </row>
    <row r="40" spans="1:21" ht="11.2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1.25" customHeight="1">
      <c r="A41" s="19"/>
      <c r="B41" s="19"/>
      <c r="C41" s="19"/>
      <c r="D41" s="19"/>
      <c r="E41" s="19"/>
      <c r="F41" s="71" t="s">
        <v>344</v>
      </c>
      <c r="G41" s="19"/>
      <c r="H41" s="35" t="str">
        <f>toc7</f>
        <v>Numerical Methods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9" ht="11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70"/>
      <c r="W42" s="70"/>
      <c r="X42" s="70"/>
      <c r="Y42" s="70"/>
      <c r="Z42" s="70"/>
      <c r="AA42" s="70"/>
      <c r="AB42" s="70"/>
      <c r="AC42" s="70"/>
    </row>
    <row r="43" spans="1:21" ht="11.25" customHeight="1">
      <c r="A43" s="19"/>
      <c r="B43" s="19"/>
      <c r="C43" s="19"/>
      <c r="D43" s="19"/>
      <c r="E43" s="19"/>
      <c r="F43" s="19"/>
      <c r="G43" s="90" t="s">
        <v>345</v>
      </c>
      <c r="H43" s="19" t="str">
        <f>toc71</f>
        <v>Interpolation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1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9" ht="11.25" customHeight="1">
      <c r="A45" s="69"/>
      <c r="B45" s="69"/>
      <c r="C45" s="69"/>
      <c r="D45" s="69"/>
      <c r="E45" s="69"/>
      <c r="F45" s="69"/>
      <c r="G45" s="90" t="s">
        <v>346</v>
      </c>
      <c r="H45" s="19" t="str">
        <f>toc72</f>
        <v>Numerical Integration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0"/>
      <c r="W45" s="70"/>
      <c r="X45" s="70"/>
      <c r="Y45" s="70"/>
      <c r="Z45" s="70"/>
      <c r="AA45" s="70"/>
      <c r="AB45" s="70"/>
      <c r="AC45" s="70"/>
    </row>
    <row r="46" spans="1:29" ht="11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70"/>
      <c r="W46" s="70"/>
      <c r="X46" s="70"/>
      <c r="Y46" s="70"/>
      <c r="Z46" s="70"/>
      <c r="AA46" s="70"/>
      <c r="AB46" s="70"/>
      <c r="AC46" s="70"/>
    </row>
    <row r="47" spans="1:29" ht="11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0"/>
      <c r="W47" s="70"/>
      <c r="X47" s="70"/>
      <c r="Y47" s="70"/>
      <c r="Z47" s="70"/>
      <c r="AA47" s="70"/>
      <c r="AB47" s="70"/>
      <c r="AC47" s="70"/>
    </row>
    <row r="48" spans="1:29" ht="11.2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70"/>
      <c r="W48" s="70"/>
      <c r="X48" s="70"/>
      <c r="Y48" s="70"/>
      <c r="Z48" s="70"/>
      <c r="AA48" s="70"/>
      <c r="AB48" s="70"/>
      <c r="AC48" s="70"/>
    </row>
    <row r="49" spans="1:29" ht="11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70"/>
      <c r="W49" s="70"/>
      <c r="X49" s="70"/>
      <c r="Y49" s="70"/>
      <c r="Z49" s="70"/>
      <c r="AA49" s="70"/>
      <c r="AB49" s="70"/>
      <c r="AC49" s="70"/>
    </row>
    <row r="50" spans="1:29" ht="11.2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  <c r="W50" s="70"/>
      <c r="X50" s="70"/>
      <c r="Y50" s="70"/>
      <c r="Z50" s="70"/>
      <c r="AA50" s="70"/>
      <c r="AB50" s="70"/>
      <c r="AC50" s="70"/>
    </row>
    <row r="51" spans="1:29" ht="11.2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70"/>
      <c r="W51" s="70"/>
      <c r="X51" s="70"/>
      <c r="Y51" s="70"/>
      <c r="Z51" s="70"/>
      <c r="AA51" s="70"/>
      <c r="AB51" s="70"/>
      <c r="AC51" s="70"/>
    </row>
    <row r="52" spans="1:29" ht="11.2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70"/>
      <c r="W52" s="70"/>
      <c r="X52" s="70"/>
      <c r="Y52" s="70"/>
      <c r="Z52" s="70"/>
      <c r="AA52" s="70"/>
      <c r="AB52" s="70"/>
      <c r="AC52" s="70"/>
    </row>
    <row r="53" spans="1:29" ht="11.2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0"/>
      <c r="W53" s="70"/>
      <c r="X53" s="70"/>
      <c r="Y53" s="70"/>
      <c r="Z53" s="70"/>
      <c r="AA53" s="70"/>
      <c r="AB53" s="70"/>
      <c r="AC53" s="70"/>
    </row>
    <row r="54" spans="1:29" ht="11.2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70"/>
      <c r="W54" s="70"/>
      <c r="X54" s="70"/>
      <c r="Y54" s="70"/>
      <c r="Z54" s="70"/>
      <c r="AA54" s="70"/>
      <c r="AB54" s="70"/>
      <c r="AC54" s="70"/>
    </row>
    <row r="55" spans="1:29" ht="11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</row>
    <row r="56" spans="1:29" ht="11.2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</row>
    <row r="57" spans="1:29" ht="11.2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</row>
    <row r="58" spans="1:29" ht="11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</row>
    <row r="59" spans="1:29" ht="11.2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</row>
    <row r="60" spans="1:29" ht="11.2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</row>
    <row r="61" spans="1:29" ht="11.2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</row>
    <row r="62" spans="1:30" ht="11.2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69"/>
      <c r="AD62" s="19"/>
    </row>
    <row r="63" spans="1:30" ht="11.25" customHeight="1">
      <c r="A63" s="19" t="str">
        <f>cosymbol</f>
        <v> NTES</v>
      </c>
      <c r="AB63" s="29" t="str">
        <f>coname</f>
        <v>Narai  Thermal  Engineering  Services </v>
      </c>
      <c r="AC63" s="19"/>
      <c r="AD63" s="19"/>
    </row>
    <row r="64" ht="11.25" customHeight="1"/>
    <row r="111" ht="13.5" customHeight="1"/>
    <row r="112" ht="13.5" customHeight="1"/>
  </sheetData>
  <mergeCells count="4">
    <mergeCell ref="X1:AB1"/>
    <mergeCell ref="X2:AB2"/>
    <mergeCell ref="F10:Q11"/>
    <mergeCell ref="A2:T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Z64"/>
  <sheetViews>
    <sheetView tabSelected="1"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58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59</v>
      </c>
      <c r="U2" s="7"/>
      <c r="V2" s="76"/>
      <c r="W2" s="117" t="s">
        <v>27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66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34</v>
      </c>
      <c r="U4" s="17"/>
      <c r="V4" s="78"/>
      <c r="W4" s="80">
        <v>1</v>
      </c>
      <c r="X4" s="148" t="s">
        <v>25</v>
      </c>
      <c r="Y4" s="148"/>
      <c r="Z4" s="33"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71" t="s">
        <v>67</v>
      </c>
      <c r="D7" s="20" t="s">
        <v>209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1.25" customHeight="1">
      <c r="A9" s="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 customHeight="1">
      <c r="A10" s="3"/>
      <c r="B10" s="19"/>
      <c r="C10" s="19"/>
      <c r="D10" s="69" t="s">
        <v>215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1.25" customHeight="1">
      <c r="A11" s="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1.25" customHeight="1">
      <c r="A12" s="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1.25" customHeight="1">
      <c r="A13" s="3"/>
      <c r="B13" s="19"/>
      <c r="C13" s="19"/>
      <c r="D13" s="19" t="s">
        <v>213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1.25" customHeight="1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1.25" customHeight="1">
      <c r="A15" s="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1.25" customHeight="1">
      <c r="A16" s="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1.25" customHeight="1">
      <c r="A17" s="3"/>
      <c r="B17" s="19"/>
      <c r="C17" s="19"/>
      <c r="D17" s="69" t="s">
        <v>210</v>
      </c>
      <c r="E17" s="6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1.25" customHeight="1">
      <c r="A18" s="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1.25" customHeight="1">
      <c r="A19" s="3"/>
      <c r="B19" s="19"/>
      <c r="C19" s="19"/>
      <c r="D19" s="19"/>
      <c r="E19" s="19" t="s">
        <v>211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1.25" customHeight="1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1.25" customHeight="1">
      <c r="A21" s="3"/>
      <c r="B21" s="19"/>
      <c r="C21" s="19"/>
      <c r="D21" s="19"/>
      <c r="E21" s="19" t="s">
        <v>212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1.25" customHeight="1">
      <c r="A22" s="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1.25" customHeight="1">
      <c r="A23" s="3"/>
      <c r="B23" s="19"/>
      <c r="C23" s="19"/>
      <c r="D23" s="19"/>
      <c r="E23" s="19" t="s">
        <v>214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1.25" customHeight="1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1.25" customHeight="1">
      <c r="A25" s="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1.25" customHeight="1">
      <c r="A26" s="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1.25" customHeight="1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1.25" customHeigh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1.25" customHeight="1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1.25" customHeight="1">
      <c r="A30" s="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1.25" customHeight="1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1.25" customHeight="1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1.25" customHeight="1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1.25" customHeight="1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1.25" customHeight="1">
      <c r="A36" s="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1.2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1.25" customHeight="1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1.25" customHeight="1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1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1.25" customHeight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1.25" customHeight="1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</sheetData>
  <mergeCells count="5">
    <mergeCell ref="B1:S2"/>
    <mergeCell ref="B3:S4"/>
    <mergeCell ref="X4:Y4"/>
    <mergeCell ref="W1:Z1"/>
    <mergeCell ref="W2:Z2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U64"/>
  <sheetViews>
    <sheetView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58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59</v>
      </c>
      <c r="U2" s="7"/>
      <c r="V2" s="76"/>
      <c r="W2" s="117" t="s">
        <v>65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66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34</v>
      </c>
      <c r="U4" s="17"/>
      <c r="V4" s="78"/>
      <c r="W4" s="80">
        <v>2</v>
      </c>
      <c r="X4" s="148" t="s">
        <v>35</v>
      </c>
      <c r="Y4" s="148"/>
      <c r="Z4" s="38">
        <f>sheetqty</f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71" t="s">
        <v>226</v>
      </c>
      <c r="D7" s="20" t="s">
        <v>218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30" ht="11.25" customHeight="1">
      <c r="A9" s="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B9" s="167" t="str">
        <f>I19</f>
        <v>n</v>
      </c>
      <c r="AC9" s="167"/>
      <c r="AD9" s="167"/>
    </row>
    <row r="10" spans="1:26" ht="11.25" customHeight="1">
      <c r="A10" s="3"/>
      <c r="B10" s="19"/>
      <c r="C10" s="19"/>
      <c r="D10" s="35" t="s">
        <v>248</v>
      </c>
      <c r="E10" s="19"/>
      <c r="F10" s="19"/>
      <c r="G10" s="19"/>
      <c r="H10" s="19"/>
      <c r="I10" s="19"/>
      <c r="J10" s="35" t="s">
        <v>235</v>
      </c>
      <c r="K10" s="19"/>
      <c r="L10" s="19" t="s">
        <v>73</v>
      </c>
      <c r="M10" s="169">
        <f>PI()</f>
        <v>3.141592653589793</v>
      </c>
      <c r="N10" s="169"/>
      <c r="O10" s="16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1.25" customHeight="1">
      <c r="A11" s="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1.25" customHeight="1">
      <c r="A12" s="3"/>
      <c r="B12" s="19"/>
      <c r="C12" s="19"/>
      <c r="D12" s="35" t="s">
        <v>249</v>
      </c>
      <c r="E12" s="19"/>
      <c r="F12" s="19"/>
      <c r="G12" s="19"/>
      <c r="H12" s="19"/>
      <c r="I12" s="19"/>
      <c r="J12" s="35" t="s">
        <v>247</v>
      </c>
      <c r="K12" s="19"/>
      <c r="L12" s="19" t="s">
        <v>73</v>
      </c>
      <c r="M12" s="169">
        <f>EXP(1)</f>
        <v>2.718281828459045</v>
      </c>
      <c r="N12" s="169"/>
      <c r="O12" s="16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1.25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1.25" customHeight="1">
      <c r="A14" s="3"/>
      <c r="B14" s="19"/>
      <c r="C14" s="19"/>
      <c r="D14" s="35" t="s">
        <v>250</v>
      </c>
      <c r="E14" s="19"/>
      <c r="F14" s="19"/>
      <c r="G14" s="19"/>
      <c r="H14" s="19"/>
      <c r="I14" s="19"/>
      <c r="J14" s="35" t="s">
        <v>246</v>
      </c>
      <c r="K14" s="19"/>
      <c r="L14" s="19" t="s">
        <v>73</v>
      </c>
      <c r="M14" s="169">
        <f>180/PI()</f>
        <v>57.29577951308232</v>
      </c>
      <c r="N14" s="169"/>
      <c r="O14" s="169"/>
      <c r="P14" s="19" t="s">
        <v>245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1.25" customHeight="1">
      <c r="A15" s="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1.25" customHeight="1">
      <c r="A16" s="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1.25" customHeight="1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30" ht="11.25" customHeight="1">
      <c r="A18" s="3"/>
      <c r="B18" s="19"/>
      <c r="C18" s="19"/>
      <c r="D18" s="81" t="s">
        <v>196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B18" s="165">
        <v>20000000</v>
      </c>
      <c r="AC18" s="165"/>
      <c r="AD18" s="165"/>
    </row>
    <row r="19" spans="1:32" ht="11.25" customHeight="1">
      <c r="A19" s="3"/>
      <c r="B19" s="19"/>
      <c r="C19" s="19"/>
      <c r="D19" s="19"/>
      <c r="E19" s="19"/>
      <c r="F19" s="19"/>
      <c r="G19" s="19"/>
      <c r="H19" s="19"/>
      <c r="I19" s="16" t="s">
        <v>74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B19" s="166" t="s">
        <v>91</v>
      </c>
      <c r="AC19" s="166"/>
      <c r="AD19" s="166"/>
      <c r="AE19" s="163" t="s">
        <v>93</v>
      </c>
      <c r="AF19" s="163"/>
    </row>
    <row r="20" spans="1:33" ht="11.25" customHeight="1">
      <c r="A20" s="3"/>
      <c r="B20" s="19"/>
      <c r="C20" s="19"/>
      <c r="D20" s="153" t="s">
        <v>86</v>
      </c>
      <c r="E20" s="154" t="s">
        <v>79</v>
      </c>
      <c r="F20" s="19" t="s">
        <v>80</v>
      </c>
      <c r="G20" s="19"/>
      <c r="H20" s="155" t="s">
        <v>88</v>
      </c>
      <c r="I20" s="156" t="s">
        <v>81</v>
      </c>
      <c r="J20" s="16">
        <v>1</v>
      </c>
      <c r="K20" s="157" t="s">
        <v>82</v>
      </c>
      <c r="L20" s="157" t="s">
        <v>83</v>
      </c>
      <c r="M20" s="157" t="str">
        <f>I19</f>
        <v>n</v>
      </c>
      <c r="N20" s="157" t="s">
        <v>84</v>
      </c>
      <c r="O20" s="155" t="s">
        <v>89</v>
      </c>
      <c r="P20" s="19"/>
      <c r="Q20" s="19"/>
      <c r="R20" s="19"/>
      <c r="S20" s="157" t="s">
        <v>79</v>
      </c>
      <c r="T20" s="158">
        <v>0.57721566</v>
      </c>
      <c r="U20" s="158"/>
      <c r="V20" s="158"/>
      <c r="W20" s="19"/>
      <c r="X20" s="19"/>
      <c r="Y20" s="19"/>
      <c r="Z20" s="19"/>
      <c r="AB20" s="168">
        <f>EulerConst(AB18,1)</f>
        <v>0.5772156898979404</v>
      </c>
      <c r="AC20" s="168"/>
      <c r="AD20" s="168"/>
      <c r="AE20" s="172">
        <f>(AB20/T20-1)*100</f>
        <v>5.179682815992237E-06</v>
      </c>
      <c r="AF20" s="172"/>
      <c r="AG20" s="170" t="s">
        <v>92</v>
      </c>
    </row>
    <row r="21" spans="1:33" ht="11.25" customHeight="1">
      <c r="A21" s="3"/>
      <c r="B21" s="19"/>
      <c r="C21" s="19"/>
      <c r="D21" s="153"/>
      <c r="E21" s="154"/>
      <c r="F21" s="19" t="str">
        <f>I19&amp;" → ∞"</f>
        <v>n → ∞</v>
      </c>
      <c r="G21" s="19"/>
      <c r="H21" s="155"/>
      <c r="I21" s="156"/>
      <c r="J21" s="83" t="s">
        <v>85</v>
      </c>
      <c r="K21" s="157"/>
      <c r="L21" s="157"/>
      <c r="M21" s="157"/>
      <c r="N21" s="157"/>
      <c r="O21" s="155"/>
      <c r="P21" s="19"/>
      <c r="Q21" s="19"/>
      <c r="R21" s="19"/>
      <c r="S21" s="157"/>
      <c r="T21" s="158"/>
      <c r="U21" s="158"/>
      <c r="V21" s="158"/>
      <c r="W21" s="19"/>
      <c r="X21" s="19"/>
      <c r="Y21" s="19"/>
      <c r="Z21" s="19"/>
      <c r="AB21" s="168"/>
      <c r="AC21" s="168"/>
      <c r="AD21" s="168"/>
      <c r="AE21" s="172"/>
      <c r="AF21" s="172"/>
      <c r="AG21" s="170"/>
    </row>
    <row r="22" spans="1:26" ht="11.25" customHeight="1">
      <c r="A22" s="3"/>
      <c r="B22" s="19"/>
      <c r="C22" s="19"/>
      <c r="D22" s="19"/>
      <c r="E22" s="19"/>
      <c r="F22" s="19"/>
      <c r="G22" s="19"/>
      <c r="H22" s="19"/>
      <c r="I22" s="16" t="s">
        <v>87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1.25" customHeight="1">
      <c r="A23" s="3"/>
      <c r="B23" s="19"/>
      <c r="C23" s="19"/>
      <c r="D23" s="82">
        <v>10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47" ht="11.25" customHeight="1">
      <c r="A24" s="3"/>
      <c r="B24" s="19"/>
      <c r="C24" s="19"/>
      <c r="D24" s="156" t="s">
        <v>81</v>
      </c>
      <c r="E24" s="16">
        <v>1</v>
      </c>
      <c r="F24" s="157" t="s">
        <v>79</v>
      </c>
      <c r="G24" s="16">
        <f>J20</f>
        <v>1</v>
      </c>
      <c r="H24" s="157" t="s">
        <v>90</v>
      </c>
      <c r="I24" s="16">
        <f>G24</f>
        <v>1</v>
      </c>
      <c r="J24" s="157" t="s">
        <v>90</v>
      </c>
      <c r="K24" s="16">
        <f>I24</f>
        <v>1</v>
      </c>
      <c r="L24" s="157" t="s">
        <v>90</v>
      </c>
      <c r="M24" s="16">
        <f>K24</f>
        <v>1</v>
      </c>
      <c r="N24" s="157" t="s">
        <v>90</v>
      </c>
      <c r="O24" s="16">
        <f>M24</f>
        <v>1</v>
      </c>
      <c r="P24" s="157" t="s">
        <v>90</v>
      </c>
      <c r="Q24" s="16">
        <f>O24</f>
        <v>1</v>
      </c>
      <c r="R24" s="157" t="s">
        <v>90</v>
      </c>
      <c r="S24" s="16">
        <f>Q24</f>
        <v>1</v>
      </c>
      <c r="T24" s="157" t="s">
        <v>90</v>
      </c>
      <c r="U24" s="16">
        <f>S24</f>
        <v>1</v>
      </c>
      <c r="V24" s="157" t="s">
        <v>90</v>
      </c>
      <c r="W24" s="16">
        <f>U24</f>
        <v>1</v>
      </c>
      <c r="X24" s="157" t="s">
        <v>90</v>
      </c>
      <c r="Y24" s="16">
        <f>W24</f>
        <v>1</v>
      </c>
      <c r="Z24" s="19"/>
      <c r="AB24" s="157" t="s">
        <v>90</v>
      </c>
      <c r="AC24" s="16">
        <f>Y24</f>
        <v>1</v>
      </c>
      <c r="AD24" s="157" t="s">
        <v>90</v>
      </c>
      <c r="AE24" s="16">
        <f>AC24</f>
        <v>1</v>
      </c>
      <c r="AF24" s="157" t="s">
        <v>90</v>
      </c>
      <c r="AG24" s="16">
        <f>AE24</f>
        <v>1</v>
      </c>
      <c r="AH24" s="157" t="s">
        <v>90</v>
      </c>
      <c r="AI24" s="16">
        <f>AG24</f>
        <v>1</v>
      </c>
      <c r="AJ24" s="157" t="s">
        <v>90</v>
      </c>
      <c r="AK24" s="16">
        <f>AI24</f>
        <v>1</v>
      </c>
      <c r="AL24" s="157" t="s">
        <v>90</v>
      </c>
      <c r="AM24" s="16">
        <f>AK24</f>
        <v>1</v>
      </c>
      <c r="AN24" s="157" t="s">
        <v>90</v>
      </c>
      <c r="AO24" s="16">
        <f>AM24</f>
        <v>1</v>
      </c>
      <c r="AP24" s="157" t="s">
        <v>90</v>
      </c>
      <c r="AQ24" s="16">
        <f>AO24</f>
        <v>1</v>
      </c>
      <c r="AR24" s="157" t="s">
        <v>90</v>
      </c>
      <c r="AS24" s="16">
        <f>AQ24</f>
        <v>1</v>
      </c>
      <c r="AT24" s="157" t="s">
        <v>90</v>
      </c>
      <c r="AU24" s="16">
        <f>AS24</f>
        <v>1</v>
      </c>
    </row>
    <row r="25" spans="1:47" ht="11.25" customHeight="1">
      <c r="A25" s="3"/>
      <c r="B25" s="19"/>
      <c r="C25" s="19"/>
      <c r="D25" s="156"/>
      <c r="E25" s="83" t="str">
        <f>J21</f>
        <v>m</v>
      </c>
      <c r="F25" s="157"/>
      <c r="G25" s="83">
        <v>1</v>
      </c>
      <c r="H25" s="157"/>
      <c r="I25" s="83">
        <f>G25+1</f>
        <v>2</v>
      </c>
      <c r="J25" s="157"/>
      <c r="K25" s="83">
        <f>I25+1</f>
        <v>3</v>
      </c>
      <c r="L25" s="157"/>
      <c r="M25" s="83">
        <f>K25+1</f>
        <v>4</v>
      </c>
      <c r="N25" s="157"/>
      <c r="O25" s="83">
        <f>M25+1</f>
        <v>5</v>
      </c>
      <c r="P25" s="157"/>
      <c r="Q25" s="83">
        <f>O25+1</f>
        <v>6</v>
      </c>
      <c r="R25" s="157"/>
      <c r="S25" s="83">
        <f>Q25+1</f>
        <v>7</v>
      </c>
      <c r="T25" s="157"/>
      <c r="U25" s="83">
        <f>S25+1</f>
        <v>8</v>
      </c>
      <c r="V25" s="157"/>
      <c r="W25" s="83">
        <f>U25+1</f>
        <v>9</v>
      </c>
      <c r="X25" s="157"/>
      <c r="Y25" s="83">
        <f>W25+1</f>
        <v>10</v>
      </c>
      <c r="Z25" s="19"/>
      <c r="AB25" s="157"/>
      <c r="AC25" s="83">
        <f>Y25+1</f>
        <v>11</v>
      </c>
      <c r="AD25" s="157"/>
      <c r="AE25" s="83">
        <f>AC25+1</f>
        <v>12</v>
      </c>
      <c r="AF25" s="157"/>
      <c r="AG25" s="83">
        <f>AE25+1</f>
        <v>13</v>
      </c>
      <c r="AH25" s="157"/>
      <c r="AI25" s="83">
        <f>AG25+1</f>
        <v>14</v>
      </c>
      <c r="AJ25" s="157"/>
      <c r="AK25" s="83">
        <f>AI25+1</f>
        <v>15</v>
      </c>
      <c r="AL25" s="157"/>
      <c r="AM25" s="83">
        <f>AK25+1</f>
        <v>16</v>
      </c>
      <c r="AN25" s="157"/>
      <c r="AO25" s="83">
        <f>AM25+1</f>
        <v>17</v>
      </c>
      <c r="AP25" s="157"/>
      <c r="AQ25" s="83">
        <f>AO25+1</f>
        <v>18</v>
      </c>
      <c r="AR25" s="157"/>
      <c r="AS25" s="83">
        <f>AQ25+1</f>
        <v>19</v>
      </c>
      <c r="AT25" s="157"/>
      <c r="AU25" s="83">
        <f>AS25+1</f>
        <v>20</v>
      </c>
    </row>
    <row r="26" spans="1:26" ht="11.25" customHeight="1">
      <c r="A26" s="3"/>
      <c r="B26" s="19"/>
      <c r="C26" s="19"/>
      <c r="D26" s="16" t="str">
        <f>I22</f>
        <v>m = 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30" ht="11.25" customHeight="1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6" t="s">
        <v>79</v>
      </c>
      <c r="T27" s="160">
        <f>1/G25+1/I25+1/K25+1/M25+1/O25+1/Q25+1/S25+1/U25+1/W25+1/Y25+IF(D23&gt;=AC25,1/AC25)+IF(D23&gt;=AE25,1/AE25)+IF(D23&gt;=AG25,1/AG25)+IF(D23&gt;=AI25,1/AI25)+IF(D23&gt;=AK25,1/AK25)+IF(D23&gt;=AM25,1/AM25)+IF(D23&gt;=AO25,1/AO25)+IF(D23&gt;=AQ25,1/AQ25)+IF(D23&gt;=AS25,1/AS25)+IF(D23&gt;=AU25,1/AU25)</f>
        <v>2.9289682539682538</v>
      </c>
      <c r="U27" s="160"/>
      <c r="V27" s="160"/>
      <c r="W27" s="19"/>
      <c r="X27" s="19"/>
      <c r="Y27" s="19"/>
      <c r="Z27" s="19"/>
      <c r="AB27" s="161">
        <f>EulerConst(D23,2)</f>
        <v>2.9289682539682538</v>
      </c>
      <c r="AC27" s="161"/>
      <c r="AD27" s="161"/>
    </row>
    <row r="28" spans="1:26" ht="11.25" customHeigh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32" ht="11.25" customHeight="1">
      <c r="A29" s="3"/>
      <c r="B29" s="19"/>
      <c r="C29" s="19"/>
      <c r="D29" s="19"/>
      <c r="E29" s="19"/>
      <c r="F29" s="47">
        <f>D23</f>
        <v>10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E29" s="163" t="s">
        <v>93</v>
      </c>
      <c r="AF29" s="163"/>
    </row>
    <row r="30" spans="1:33" ht="11.25" customHeight="1">
      <c r="A30" s="3"/>
      <c r="B30" s="19"/>
      <c r="C30" s="19"/>
      <c r="D30" s="153" t="s">
        <v>86</v>
      </c>
      <c r="E30" s="154" t="s">
        <v>79</v>
      </c>
      <c r="F30" s="156" t="s">
        <v>81</v>
      </c>
      <c r="G30" s="16">
        <v>1</v>
      </c>
      <c r="H30" s="157" t="s">
        <v>82</v>
      </c>
      <c r="I30" s="157" t="s">
        <v>83</v>
      </c>
      <c r="J30" s="157">
        <f>F29</f>
        <v>10</v>
      </c>
      <c r="K30" s="157" t="s">
        <v>84</v>
      </c>
      <c r="L30" s="157" t="s">
        <v>73</v>
      </c>
      <c r="M30" s="159">
        <f>T27</f>
        <v>2.9289682539682538</v>
      </c>
      <c r="N30" s="159"/>
      <c r="O30" s="157" t="str">
        <f>H30</f>
        <v>-</v>
      </c>
      <c r="P30" s="159">
        <f>LN(J30)</f>
        <v>2.302585092994046</v>
      </c>
      <c r="Q30" s="159"/>
      <c r="R30" s="19"/>
      <c r="S30" s="157" t="s">
        <v>79</v>
      </c>
      <c r="T30" s="171">
        <f>M30-P30</f>
        <v>0.6263831609742079</v>
      </c>
      <c r="U30" s="171"/>
      <c r="V30" s="171"/>
      <c r="W30" s="19"/>
      <c r="X30" s="19"/>
      <c r="Y30" s="19"/>
      <c r="Z30" s="19"/>
      <c r="AB30" s="162">
        <f>EulerConst(D23,1)</f>
        <v>0.6263831609742079</v>
      </c>
      <c r="AC30" s="162"/>
      <c r="AD30" s="162"/>
      <c r="AE30" s="164">
        <f>(AB30/T20-1)*100</f>
        <v>8.518046959122326</v>
      </c>
      <c r="AF30" s="164"/>
      <c r="AG30" s="170" t="s">
        <v>92</v>
      </c>
    </row>
    <row r="31" spans="1:33" ht="11.25" customHeight="1">
      <c r="A31" s="3"/>
      <c r="B31" s="19"/>
      <c r="C31" s="19"/>
      <c r="D31" s="153"/>
      <c r="E31" s="154"/>
      <c r="F31" s="156"/>
      <c r="G31" s="83" t="str">
        <f>E25</f>
        <v>m</v>
      </c>
      <c r="H31" s="157"/>
      <c r="I31" s="157"/>
      <c r="J31" s="157"/>
      <c r="K31" s="157"/>
      <c r="L31" s="157"/>
      <c r="M31" s="159"/>
      <c r="N31" s="159"/>
      <c r="O31" s="157"/>
      <c r="P31" s="159"/>
      <c r="Q31" s="159"/>
      <c r="R31" s="19"/>
      <c r="S31" s="157"/>
      <c r="T31" s="171"/>
      <c r="U31" s="171"/>
      <c r="V31" s="171"/>
      <c r="W31" s="19"/>
      <c r="X31" s="19"/>
      <c r="Y31" s="19"/>
      <c r="Z31" s="19"/>
      <c r="AB31" s="162"/>
      <c r="AC31" s="162"/>
      <c r="AD31" s="162"/>
      <c r="AE31" s="164"/>
      <c r="AF31" s="164"/>
      <c r="AG31" s="170"/>
    </row>
    <row r="32" spans="1:26" ht="11.25" customHeight="1">
      <c r="A32" s="3"/>
      <c r="B32" s="19"/>
      <c r="C32" s="19"/>
      <c r="D32" s="19"/>
      <c r="E32" s="19"/>
      <c r="F32" s="16" t="s">
        <v>87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1.25" customHeight="1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1.25" customHeight="1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1.25" customHeight="1">
      <c r="A36" s="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1.2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1.25" customHeight="1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1.25" customHeight="1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1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1.25" customHeight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1.25" customHeight="1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</sheetData>
  <mergeCells count="66">
    <mergeCell ref="M10:O10"/>
    <mergeCell ref="M12:O12"/>
    <mergeCell ref="M14:O14"/>
    <mergeCell ref="AG30:AG31"/>
    <mergeCell ref="M30:N31"/>
    <mergeCell ref="O30:O31"/>
    <mergeCell ref="T30:V31"/>
    <mergeCell ref="AE20:AF21"/>
    <mergeCell ref="AG20:AG21"/>
    <mergeCell ref="AE19:AF19"/>
    <mergeCell ref="AB18:AD18"/>
    <mergeCell ref="AB19:AD19"/>
    <mergeCell ref="AB9:AD9"/>
    <mergeCell ref="AB20:AD21"/>
    <mergeCell ref="AB27:AD27"/>
    <mergeCell ref="AB30:AD31"/>
    <mergeCell ref="AP24:AP25"/>
    <mergeCell ref="AR24:AR25"/>
    <mergeCell ref="AE29:AF29"/>
    <mergeCell ref="AE30:AF31"/>
    <mergeCell ref="AT24:AT25"/>
    <mergeCell ref="T27:V27"/>
    <mergeCell ref="AH24:AH25"/>
    <mergeCell ref="AJ24:AJ25"/>
    <mergeCell ref="AL24:AL25"/>
    <mergeCell ref="AN24:AN25"/>
    <mergeCell ref="AB24:AB25"/>
    <mergeCell ref="AD24:AD25"/>
    <mergeCell ref="AF24:AF25"/>
    <mergeCell ref="V24:V25"/>
    <mergeCell ref="H30:H31"/>
    <mergeCell ref="P30:Q31"/>
    <mergeCell ref="S30:S31"/>
    <mergeCell ref="N24:N25"/>
    <mergeCell ref="I30:I31"/>
    <mergeCell ref="J30:J31"/>
    <mergeCell ref="K30:K31"/>
    <mergeCell ref="L30:L31"/>
    <mergeCell ref="H24:H25"/>
    <mergeCell ref="J24:J25"/>
    <mergeCell ref="D24:D25"/>
    <mergeCell ref="D30:D31"/>
    <mergeCell ref="E30:E31"/>
    <mergeCell ref="F30:F31"/>
    <mergeCell ref="F24:F25"/>
    <mergeCell ref="L24:L25"/>
    <mergeCell ref="X24:X25"/>
    <mergeCell ref="S20:S21"/>
    <mergeCell ref="T20:V21"/>
    <mergeCell ref="N20:N21"/>
    <mergeCell ref="T24:T25"/>
    <mergeCell ref="P24:P25"/>
    <mergeCell ref="R24:R25"/>
    <mergeCell ref="K20:K21"/>
    <mergeCell ref="L20:L21"/>
    <mergeCell ref="M20:M21"/>
    <mergeCell ref="O20:O21"/>
    <mergeCell ref="B1:S2"/>
    <mergeCell ref="B3:S4"/>
    <mergeCell ref="X4:Y4"/>
    <mergeCell ref="W1:Z1"/>
    <mergeCell ref="W2:Z2"/>
    <mergeCell ref="D20:D21"/>
    <mergeCell ref="E20:E21"/>
    <mergeCell ref="H20:H21"/>
    <mergeCell ref="I20:I21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Z64"/>
  <sheetViews>
    <sheetView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94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95</v>
      </c>
      <c r="U2" s="7"/>
      <c r="V2" s="76"/>
      <c r="W2" s="117" t="s">
        <v>96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97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98</v>
      </c>
      <c r="U4" s="17"/>
      <c r="V4" s="78"/>
      <c r="W4" s="80">
        <v>3</v>
      </c>
      <c r="X4" s="148" t="s">
        <v>99</v>
      </c>
      <c r="Y4" s="148"/>
      <c r="Z4" s="38">
        <f>sheetqty</f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71" t="s">
        <v>349</v>
      </c>
      <c r="D7" s="20" t="s">
        <v>217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1.25" customHeight="1">
      <c r="A9" s="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 customHeight="1">
      <c r="A10" s="3"/>
      <c r="B10" s="19"/>
      <c r="C10" s="19"/>
      <c r="D10" s="91" t="s">
        <v>216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1.25" customHeight="1">
      <c r="A11" s="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1.25" customHeight="1">
      <c r="A12" s="3"/>
      <c r="B12" s="19"/>
      <c r="C12" s="19"/>
      <c r="D12" s="19" t="s">
        <v>100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1.25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1.25" customHeight="1">
      <c r="A14" s="3"/>
      <c r="B14" s="19"/>
      <c r="C14" s="19"/>
      <c r="D14" s="173" t="s">
        <v>103</v>
      </c>
      <c r="E14" s="173"/>
      <c r="F14" s="157" t="s">
        <v>101</v>
      </c>
      <c r="G14" s="157" t="s">
        <v>76</v>
      </c>
      <c r="H14" s="157" t="s">
        <v>102</v>
      </c>
      <c r="I14" s="157" t="s">
        <v>73</v>
      </c>
      <c r="J14" s="16" t="s">
        <v>104</v>
      </c>
      <c r="K14" s="16" t="s">
        <v>106</v>
      </c>
      <c r="L14" s="16" t="s">
        <v>105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1.25" customHeight="1">
      <c r="A15" s="3"/>
      <c r="B15" s="19"/>
      <c r="C15" s="19"/>
      <c r="D15" s="173"/>
      <c r="E15" s="173"/>
      <c r="F15" s="157"/>
      <c r="G15" s="157"/>
      <c r="H15" s="157"/>
      <c r="I15" s="157"/>
      <c r="J15" s="36"/>
      <c r="K15" s="83">
        <v>2</v>
      </c>
      <c r="L15" s="36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1.25" customHeight="1">
      <c r="A16" s="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1.25" customHeight="1">
      <c r="A17" s="3"/>
      <c r="B17" s="19"/>
      <c r="C17" s="19"/>
      <c r="D17" s="173" t="s">
        <v>107</v>
      </c>
      <c r="E17" s="173"/>
      <c r="F17" s="157" t="s">
        <v>101</v>
      </c>
      <c r="G17" s="157" t="s">
        <v>76</v>
      </c>
      <c r="H17" s="157" t="s">
        <v>102</v>
      </c>
      <c r="I17" s="157" t="s">
        <v>73</v>
      </c>
      <c r="J17" s="16" t="s">
        <v>104</v>
      </c>
      <c r="K17" s="16" t="s">
        <v>108</v>
      </c>
      <c r="L17" s="16" t="s">
        <v>105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1.25" customHeight="1">
      <c r="A18" s="3"/>
      <c r="B18" s="19"/>
      <c r="C18" s="19"/>
      <c r="D18" s="173"/>
      <c r="E18" s="173"/>
      <c r="F18" s="157"/>
      <c r="G18" s="157"/>
      <c r="H18" s="157"/>
      <c r="I18" s="157"/>
      <c r="J18" s="36"/>
      <c r="K18" s="83">
        <v>2</v>
      </c>
      <c r="L18" s="36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1.25" customHeight="1">
      <c r="A19" s="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1.25" customHeight="1">
      <c r="A20" s="3"/>
      <c r="B20" s="19"/>
      <c r="C20" s="19"/>
      <c r="D20" s="173" t="s">
        <v>109</v>
      </c>
      <c r="E20" s="173"/>
      <c r="F20" s="157" t="s">
        <v>101</v>
      </c>
      <c r="G20" s="157" t="s">
        <v>76</v>
      </c>
      <c r="H20" s="157" t="s">
        <v>102</v>
      </c>
      <c r="I20" s="157" t="s">
        <v>73</v>
      </c>
      <c r="J20" s="19" t="str">
        <f>D14</f>
        <v>sinh</v>
      </c>
      <c r="K20" s="16" t="s">
        <v>101</v>
      </c>
      <c r="L20" s="16" t="str">
        <f>G20</f>
        <v>x</v>
      </c>
      <c r="M20" s="16" t="s">
        <v>102</v>
      </c>
      <c r="N20" s="157" t="s">
        <v>73</v>
      </c>
      <c r="O20" s="16" t="s">
        <v>104</v>
      </c>
      <c r="P20" s="16" t="s">
        <v>106</v>
      </c>
      <c r="Q20" s="16" t="s">
        <v>105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1.25" customHeight="1">
      <c r="A21" s="3"/>
      <c r="B21" s="19"/>
      <c r="C21" s="19"/>
      <c r="D21" s="173"/>
      <c r="E21" s="173"/>
      <c r="F21" s="157"/>
      <c r="G21" s="157"/>
      <c r="H21" s="157"/>
      <c r="I21" s="157"/>
      <c r="J21" s="36" t="str">
        <f>D17</f>
        <v>cosh</v>
      </c>
      <c r="K21" s="83" t="s">
        <v>101</v>
      </c>
      <c r="L21" s="83" t="str">
        <f>L20</f>
        <v>x</v>
      </c>
      <c r="M21" s="83" t="s">
        <v>102</v>
      </c>
      <c r="N21" s="157"/>
      <c r="O21" s="83" t="s">
        <v>104</v>
      </c>
      <c r="P21" s="83" t="s">
        <v>108</v>
      </c>
      <c r="Q21" s="83" t="s">
        <v>105</v>
      </c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1.25" customHeight="1">
      <c r="A22" s="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1.25" customHeight="1">
      <c r="A23" s="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1.25" customHeight="1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1.25" customHeight="1">
      <c r="A25" s="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1.25" customHeight="1">
      <c r="A26" s="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1.25" customHeight="1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1.25" customHeigh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1.25" customHeight="1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1.25" customHeight="1">
      <c r="A30" s="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1.25" customHeight="1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1.25" customHeight="1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1.25" customHeight="1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1.25" customHeight="1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1.25" customHeight="1">
      <c r="A36" s="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1.2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1.25" customHeight="1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1.25" customHeight="1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1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1.25" customHeight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1.25" customHeight="1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</sheetData>
  <mergeCells count="21">
    <mergeCell ref="I20:I21"/>
    <mergeCell ref="N20:N21"/>
    <mergeCell ref="D20:E21"/>
    <mergeCell ref="F20:F21"/>
    <mergeCell ref="G20:G21"/>
    <mergeCell ref="H20:H21"/>
    <mergeCell ref="I14:I15"/>
    <mergeCell ref="F17:F18"/>
    <mergeCell ref="G17:G18"/>
    <mergeCell ref="H17:H18"/>
    <mergeCell ref="I17:I18"/>
    <mergeCell ref="H14:H15"/>
    <mergeCell ref="D14:E15"/>
    <mergeCell ref="D17:E18"/>
    <mergeCell ref="B1:S2"/>
    <mergeCell ref="B3:S4"/>
    <mergeCell ref="X4:Y4"/>
    <mergeCell ref="W1:Z1"/>
    <mergeCell ref="W2:Z2"/>
    <mergeCell ref="F14:F15"/>
    <mergeCell ref="G14:G15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Z64"/>
  <sheetViews>
    <sheetView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58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59</v>
      </c>
      <c r="U2" s="7"/>
      <c r="V2" s="76"/>
      <c r="W2" s="117" t="s">
        <v>65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66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34</v>
      </c>
      <c r="U4" s="17"/>
      <c r="V4" s="78"/>
      <c r="W4" s="80">
        <v>4</v>
      </c>
      <c r="X4" s="148" t="s">
        <v>35</v>
      </c>
      <c r="Y4" s="148"/>
      <c r="Z4" s="38">
        <f>sheetqty</f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71" t="s">
        <v>350</v>
      </c>
      <c r="D7" s="20" t="s">
        <v>70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1.25" customHeight="1">
      <c r="A9" s="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 customHeight="1">
      <c r="A10" s="3"/>
      <c r="B10" s="19"/>
      <c r="C10" s="19"/>
      <c r="D10" s="81" t="s">
        <v>71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1.25" customHeight="1">
      <c r="A11" s="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1.25" customHeight="1">
      <c r="A12" s="3"/>
      <c r="B12" s="19"/>
      <c r="C12" s="19"/>
      <c r="D12" s="47" t="s">
        <v>74</v>
      </c>
      <c r="E12" s="49" t="s">
        <v>75</v>
      </c>
      <c r="F12" s="19" t="s">
        <v>73</v>
      </c>
      <c r="G12" s="16">
        <v>1</v>
      </c>
      <c r="H12" s="16" t="s">
        <v>76</v>
      </c>
      <c r="I12" s="16">
        <v>2</v>
      </c>
      <c r="J12" s="16" t="s">
        <v>76</v>
      </c>
      <c r="K12" s="16">
        <v>3</v>
      </c>
      <c r="L12" s="16" t="s">
        <v>76</v>
      </c>
      <c r="M12" s="173" t="s">
        <v>77</v>
      </c>
      <c r="N12" s="173"/>
      <c r="O12" s="16" t="s">
        <v>76</v>
      </c>
      <c r="P12" s="16" t="str">
        <f>D12</f>
        <v>n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1.25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1.25" customHeight="1">
      <c r="A14" s="3"/>
      <c r="B14" s="19"/>
      <c r="C14" s="19"/>
      <c r="D14" s="47">
        <v>0</v>
      </c>
      <c r="E14" s="35" t="str">
        <f>E12</f>
        <v>!</v>
      </c>
      <c r="F14" s="19" t="s">
        <v>73</v>
      </c>
      <c r="G14" s="16">
        <v>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1.25" customHeight="1">
      <c r="A15" s="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1.25" customHeight="1">
      <c r="A16" s="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1.25" customHeight="1">
      <c r="A17" s="3"/>
      <c r="B17" s="19"/>
      <c r="C17" s="19"/>
      <c r="D17" s="81" t="s">
        <v>78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1.25" customHeight="1">
      <c r="A18" s="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1.25" customHeight="1">
      <c r="A19" s="3"/>
      <c r="B19" s="19"/>
      <c r="C19" s="19"/>
      <c r="D19" s="82">
        <v>0</v>
      </c>
      <c r="E19" s="19" t="s">
        <v>72</v>
      </c>
      <c r="F19" s="19" t="s">
        <v>73</v>
      </c>
      <c r="G19" s="175">
        <f>factorial(D19)</f>
        <v>1</v>
      </c>
      <c r="H19" s="175"/>
      <c r="I19" s="175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1.25" customHeight="1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1.25" customHeight="1">
      <c r="A21" s="3"/>
      <c r="B21" s="19"/>
      <c r="C21" s="19"/>
      <c r="D21" s="82">
        <v>1</v>
      </c>
      <c r="E21" s="19" t="s">
        <v>72</v>
      </c>
      <c r="F21" s="19" t="s">
        <v>73</v>
      </c>
      <c r="G21" s="175">
        <f>factorial(D21)</f>
        <v>1</v>
      </c>
      <c r="H21" s="175"/>
      <c r="I21" s="175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1.25" customHeight="1">
      <c r="A22" s="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1.25" customHeight="1">
      <c r="A23" s="3"/>
      <c r="B23" s="19"/>
      <c r="C23" s="19"/>
      <c r="D23" s="82">
        <v>2</v>
      </c>
      <c r="E23" s="19" t="s">
        <v>72</v>
      </c>
      <c r="F23" s="19" t="s">
        <v>73</v>
      </c>
      <c r="G23" s="175">
        <f>factorial(D23)</f>
        <v>2</v>
      </c>
      <c r="H23" s="175"/>
      <c r="I23" s="175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1.25" customHeight="1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1.25" customHeight="1">
      <c r="A25" s="3"/>
      <c r="B25" s="19"/>
      <c r="C25" s="19"/>
      <c r="D25" s="82">
        <v>3</v>
      </c>
      <c r="E25" s="19" t="s">
        <v>72</v>
      </c>
      <c r="F25" s="19" t="s">
        <v>73</v>
      </c>
      <c r="G25" s="175">
        <f>factorial(D25)</f>
        <v>6</v>
      </c>
      <c r="H25" s="175"/>
      <c r="I25" s="175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1.25" customHeight="1">
      <c r="A26" s="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1.25" customHeight="1">
      <c r="A27" s="3"/>
      <c r="B27" s="19"/>
      <c r="C27" s="19"/>
      <c r="D27" s="82">
        <v>4</v>
      </c>
      <c r="E27" s="19" t="s">
        <v>72</v>
      </c>
      <c r="F27" s="19" t="s">
        <v>73</v>
      </c>
      <c r="G27" s="175">
        <f>factorial(D27)</f>
        <v>24</v>
      </c>
      <c r="H27" s="175"/>
      <c r="I27" s="175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1.25" customHeigh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1.25" customHeight="1">
      <c r="A29" s="3"/>
      <c r="B29" s="19"/>
      <c r="C29" s="19"/>
      <c r="D29" s="82">
        <v>5</v>
      </c>
      <c r="E29" s="19" t="s">
        <v>72</v>
      </c>
      <c r="F29" s="19" t="s">
        <v>73</v>
      </c>
      <c r="G29" s="175">
        <f>factorial(D29)</f>
        <v>120</v>
      </c>
      <c r="H29" s="175"/>
      <c r="I29" s="175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1.25" customHeight="1">
      <c r="A30" s="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1.25" customHeight="1">
      <c r="A31" s="3"/>
      <c r="B31" s="19"/>
      <c r="C31" s="19"/>
      <c r="D31" s="82">
        <v>10</v>
      </c>
      <c r="E31" s="19" t="s">
        <v>72</v>
      </c>
      <c r="F31" s="19" t="s">
        <v>73</v>
      </c>
      <c r="G31" s="174">
        <f>factorial(D31)</f>
        <v>3628800</v>
      </c>
      <c r="H31" s="174"/>
      <c r="I31" s="17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1.25" customHeight="1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1.25" customHeight="1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1.25" customHeight="1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1.25" customHeight="1">
      <c r="A36" s="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1.2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1.25" customHeight="1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1.25" customHeight="1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1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1.25" customHeight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1.25" customHeight="1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</sheetData>
  <mergeCells count="13">
    <mergeCell ref="B1:S2"/>
    <mergeCell ref="B3:S4"/>
    <mergeCell ref="X4:Y4"/>
    <mergeCell ref="W1:Z1"/>
    <mergeCell ref="W2:Z2"/>
    <mergeCell ref="G23:I23"/>
    <mergeCell ref="G25:I25"/>
    <mergeCell ref="G27:I27"/>
    <mergeCell ref="G29:I29"/>
    <mergeCell ref="M12:N12"/>
    <mergeCell ref="G31:I31"/>
    <mergeCell ref="G19:I19"/>
    <mergeCell ref="G21:I21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Z64"/>
  <sheetViews>
    <sheetView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58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59</v>
      </c>
      <c r="U2" s="7"/>
      <c r="V2" s="76"/>
      <c r="W2" s="117" t="s">
        <v>65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66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34</v>
      </c>
      <c r="U4" s="17"/>
      <c r="V4" s="78"/>
      <c r="W4" s="80">
        <v>5</v>
      </c>
      <c r="X4" s="148" t="s">
        <v>35</v>
      </c>
      <c r="Y4" s="148"/>
      <c r="Z4" s="38">
        <f>sheetqty</f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71" t="s">
        <v>204</v>
      </c>
      <c r="D7" s="20" t="s">
        <v>143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1.25" customHeight="1">
      <c r="A9" s="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 customHeight="1">
      <c r="A10" s="3"/>
      <c r="B10" s="19"/>
      <c r="C10" s="19"/>
      <c r="D10" s="19" t="s">
        <v>110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1.25" customHeight="1">
      <c r="A11" s="3"/>
      <c r="B11" s="19"/>
      <c r="C11" s="19"/>
      <c r="D11" s="19" t="s">
        <v>111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1.25" customHeight="1">
      <c r="A12" s="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1.25" customHeight="1">
      <c r="A13" s="3"/>
      <c r="B13" s="19"/>
      <c r="C13" s="19"/>
      <c r="D13" s="19"/>
      <c r="E13" s="157" t="s">
        <v>112</v>
      </c>
      <c r="F13" s="16" t="s">
        <v>113</v>
      </c>
      <c r="G13" s="157" t="s">
        <v>90</v>
      </c>
      <c r="H13" s="157" t="s">
        <v>26</v>
      </c>
      <c r="I13" s="16" t="s">
        <v>114</v>
      </c>
      <c r="J13" s="157" t="s">
        <v>90</v>
      </c>
      <c r="K13" s="157" t="s">
        <v>115</v>
      </c>
      <c r="L13" s="157" t="s">
        <v>112</v>
      </c>
      <c r="M13" s="157" t="s">
        <v>82</v>
      </c>
      <c r="N13" s="157" t="s">
        <v>116</v>
      </c>
      <c r="O13" s="157" t="s">
        <v>84</v>
      </c>
      <c r="P13" s="157" t="s">
        <v>117</v>
      </c>
      <c r="Q13" s="157" t="s">
        <v>79</v>
      </c>
      <c r="R13" s="157">
        <v>0</v>
      </c>
      <c r="S13" s="19"/>
      <c r="T13" s="19"/>
      <c r="U13" s="19"/>
      <c r="V13" s="19"/>
      <c r="W13" s="19"/>
      <c r="X13" s="19"/>
      <c r="Y13" s="19"/>
      <c r="Z13" s="19"/>
    </row>
    <row r="14" spans="1:26" ht="11.25" customHeight="1">
      <c r="A14" s="3"/>
      <c r="B14" s="19"/>
      <c r="C14" s="19"/>
      <c r="D14" s="19"/>
      <c r="E14" s="157"/>
      <c r="F14" s="83" t="s">
        <v>118</v>
      </c>
      <c r="G14" s="157"/>
      <c r="H14" s="157"/>
      <c r="I14" s="83" t="s">
        <v>119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9"/>
      <c r="T14" s="19"/>
      <c r="U14" s="19"/>
      <c r="V14" s="19"/>
      <c r="W14" s="19"/>
      <c r="X14" s="19"/>
      <c r="Y14" s="19"/>
      <c r="Z14" s="19"/>
    </row>
    <row r="15" spans="1:26" ht="11.25" customHeight="1">
      <c r="A15" s="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1.25" customHeight="1">
      <c r="A16" s="3"/>
      <c r="B16" s="19"/>
      <c r="C16" s="19"/>
      <c r="D16" s="19" t="s">
        <v>120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1.25" customHeight="1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1.25" customHeight="1">
      <c r="A18" s="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1.25" customHeight="1">
      <c r="A19" s="3"/>
      <c r="B19" s="19"/>
      <c r="C19" s="19"/>
      <c r="D19" s="81" t="s">
        <v>121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1.25" customHeight="1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1.25" customHeight="1">
      <c r="A21" s="3"/>
      <c r="B21" s="19"/>
      <c r="C21" s="19"/>
      <c r="D21" s="19" t="s">
        <v>237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1.25" customHeight="1">
      <c r="A22" s="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1.25" customHeight="1">
      <c r="A23" s="3"/>
      <c r="B23" s="19"/>
      <c r="C23" s="19"/>
      <c r="D23" s="19" t="s">
        <v>238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1.25" customHeight="1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1.25" customHeight="1">
      <c r="A25" s="3"/>
      <c r="B25" s="19"/>
      <c r="C25" s="19"/>
      <c r="D25" s="16" t="s">
        <v>82</v>
      </c>
      <c r="E25" s="19" t="s">
        <v>239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1.25" customHeight="1">
      <c r="A26" s="3"/>
      <c r="B26" s="19"/>
      <c r="C26" s="19"/>
      <c r="D26" s="16" t="s">
        <v>82</v>
      </c>
      <c r="E26" s="19" t="s">
        <v>240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1.25" customHeight="1">
      <c r="A27" s="3"/>
      <c r="B27" s="19"/>
      <c r="C27" s="19"/>
      <c r="D27" s="16" t="s">
        <v>82</v>
      </c>
      <c r="E27" s="19" t="s">
        <v>241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1.25" customHeight="1">
      <c r="A28" s="3"/>
      <c r="B28" s="19"/>
      <c r="C28" s="19"/>
      <c r="D28" s="16" t="s">
        <v>82</v>
      </c>
      <c r="E28" s="19" t="s">
        <v>242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1.25" customHeight="1">
      <c r="A29" s="3"/>
      <c r="B29" s="19"/>
      <c r="C29" s="19"/>
      <c r="D29" s="16" t="s">
        <v>82</v>
      </c>
      <c r="E29" s="19" t="s">
        <v>243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1.25" customHeight="1">
      <c r="A30" s="3"/>
      <c r="B30" s="19"/>
      <c r="C30" s="19"/>
      <c r="D30" s="16" t="s">
        <v>82</v>
      </c>
      <c r="E30" s="19" t="s">
        <v>244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1.25" customHeight="1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1.25" customHeight="1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3"/>
      <c r="B33" s="19"/>
      <c r="C33" s="19"/>
      <c r="D33" s="81" t="s">
        <v>71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1.25" customHeight="1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1.25" customHeight="1">
      <c r="A35" s="3"/>
      <c r="B35" s="19"/>
      <c r="C35" s="19"/>
      <c r="D35" s="19" t="s">
        <v>122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1.25" customHeight="1">
      <c r="A36" s="3"/>
      <c r="B36" s="19"/>
      <c r="C36" s="19"/>
      <c r="D36" s="19" t="s">
        <v>123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3"/>
      <c r="B37" s="19"/>
      <c r="C37" s="19"/>
      <c r="D37" s="19" t="s">
        <v>124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1.2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3"/>
      <c r="B39" s="19"/>
      <c r="C39" s="19"/>
      <c r="D39" s="19"/>
      <c r="E39" s="43" t="s">
        <v>125</v>
      </c>
      <c r="F39" s="43"/>
      <c r="G39" s="43"/>
      <c r="H39" s="43"/>
      <c r="I39" s="43"/>
      <c r="J39" s="100"/>
      <c r="K39" s="176" t="s">
        <v>126</v>
      </c>
      <c r="L39" s="176"/>
      <c r="M39" s="176"/>
      <c r="N39" s="176"/>
      <c r="O39" s="176" t="s">
        <v>127</v>
      </c>
      <c r="P39" s="176"/>
      <c r="Q39" s="176"/>
      <c r="R39" s="176"/>
      <c r="S39" s="19"/>
      <c r="T39" s="19"/>
      <c r="U39" s="19"/>
      <c r="V39" s="19"/>
      <c r="W39" s="19"/>
      <c r="X39" s="19"/>
      <c r="Y39" s="19"/>
      <c r="Z39" s="19"/>
    </row>
    <row r="40" spans="1:26" ht="11.25" customHeight="1">
      <c r="A40" s="3"/>
      <c r="B40" s="19"/>
      <c r="C40" s="19"/>
      <c r="D40" s="19"/>
      <c r="E40" s="11" t="s">
        <v>128</v>
      </c>
      <c r="F40" s="11"/>
      <c r="G40" s="11"/>
      <c r="H40" s="11"/>
      <c r="I40" s="11"/>
      <c r="J40" s="11"/>
      <c r="K40" s="115" t="s">
        <v>129</v>
      </c>
      <c r="L40" s="115"/>
      <c r="M40" s="115"/>
      <c r="N40" s="115"/>
      <c r="O40" s="115" t="s">
        <v>130</v>
      </c>
      <c r="P40" s="115"/>
      <c r="Q40" s="115"/>
      <c r="R40" s="115"/>
      <c r="S40" s="19"/>
      <c r="T40" s="19"/>
      <c r="U40" s="19"/>
      <c r="V40" s="19"/>
      <c r="W40" s="19"/>
      <c r="X40" s="19"/>
      <c r="Y40" s="19"/>
      <c r="Z40" s="19"/>
    </row>
    <row r="41" spans="1:26" ht="11.25" customHeight="1">
      <c r="A41" s="3"/>
      <c r="B41" s="19"/>
      <c r="C41" s="19"/>
      <c r="D41" s="19"/>
      <c r="E41" s="7" t="s">
        <v>131</v>
      </c>
      <c r="F41" s="7"/>
      <c r="G41" s="7"/>
      <c r="H41" s="7"/>
      <c r="I41" s="7"/>
      <c r="J41" s="7"/>
      <c r="K41" s="110" t="s">
        <v>132</v>
      </c>
      <c r="L41" s="110"/>
      <c r="M41" s="110"/>
      <c r="N41" s="110"/>
      <c r="O41" s="110" t="s">
        <v>133</v>
      </c>
      <c r="P41" s="110"/>
      <c r="Q41" s="110"/>
      <c r="R41" s="110"/>
      <c r="S41" s="19"/>
      <c r="T41" s="19"/>
      <c r="U41" s="19"/>
      <c r="V41" s="19"/>
      <c r="W41" s="19"/>
      <c r="X41" s="19"/>
      <c r="Y41" s="19"/>
      <c r="Z41" s="19"/>
    </row>
    <row r="42" spans="1:26" ht="11.25" customHeight="1">
      <c r="A42" s="3"/>
      <c r="B42" s="19"/>
      <c r="C42" s="19"/>
      <c r="D42" s="19"/>
      <c r="E42" s="7" t="s">
        <v>134</v>
      </c>
      <c r="F42" s="7"/>
      <c r="G42" s="7"/>
      <c r="H42" s="7"/>
      <c r="I42" s="7"/>
      <c r="J42" s="7"/>
      <c r="K42" s="110" t="s">
        <v>135</v>
      </c>
      <c r="L42" s="110"/>
      <c r="M42" s="110"/>
      <c r="N42" s="110"/>
      <c r="O42" s="110" t="s">
        <v>136</v>
      </c>
      <c r="P42" s="110"/>
      <c r="Q42" s="110"/>
      <c r="R42" s="110"/>
      <c r="S42" s="19"/>
      <c r="T42" s="19"/>
      <c r="U42" s="19"/>
      <c r="V42" s="19"/>
      <c r="W42" s="19"/>
      <c r="X42" s="19"/>
      <c r="Y42" s="19"/>
      <c r="Z42" s="19"/>
    </row>
    <row r="43" spans="1:26" ht="11.25" customHeight="1">
      <c r="A43" s="3"/>
      <c r="B43" s="19"/>
      <c r="C43" s="19"/>
      <c r="D43" s="19"/>
      <c r="E43" s="7" t="s">
        <v>137</v>
      </c>
      <c r="F43" s="7"/>
      <c r="G43" s="7"/>
      <c r="H43" s="7"/>
      <c r="I43" s="7"/>
      <c r="J43" s="7"/>
      <c r="K43" s="110" t="s">
        <v>138</v>
      </c>
      <c r="L43" s="110"/>
      <c r="M43" s="110"/>
      <c r="N43" s="110"/>
      <c r="O43" s="110" t="s">
        <v>139</v>
      </c>
      <c r="P43" s="110"/>
      <c r="Q43" s="110"/>
      <c r="R43" s="110"/>
      <c r="S43" s="19"/>
      <c r="T43" s="19"/>
      <c r="U43" s="19"/>
      <c r="V43" s="19"/>
      <c r="W43" s="19"/>
      <c r="X43" s="19"/>
      <c r="Y43" s="19"/>
      <c r="Z43" s="19"/>
    </row>
    <row r="44" spans="1:26" ht="11.25" customHeight="1">
      <c r="A44" s="3"/>
      <c r="B44" s="19"/>
      <c r="C44" s="19"/>
      <c r="D44" s="19"/>
      <c r="E44" s="17" t="s">
        <v>140</v>
      </c>
      <c r="F44" s="17"/>
      <c r="G44" s="17"/>
      <c r="H44" s="17"/>
      <c r="I44" s="17"/>
      <c r="J44" s="17"/>
      <c r="K44" s="148" t="s">
        <v>141</v>
      </c>
      <c r="L44" s="148"/>
      <c r="M44" s="148"/>
      <c r="N44" s="148"/>
      <c r="O44" s="148" t="s">
        <v>142</v>
      </c>
      <c r="P44" s="148"/>
      <c r="Q44" s="148"/>
      <c r="R44" s="148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</sheetData>
  <mergeCells count="29">
    <mergeCell ref="B1:S2"/>
    <mergeCell ref="B3:S4"/>
    <mergeCell ref="X4:Y4"/>
    <mergeCell ref="W1:Z1"/>
    <mergeCell ref="W2:Z2"/>
    <mergeCell ref="E13:E14"/>
    <mergeCell ref="G13:G14"/>
    <mergeCell ref="H13:H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K39:N39"/>
    <mergeCell ref="K40:N40"/>
    <mergeCell ref="O39:R39"/>
    <mergeCell ref="O40:R40"/>
    <mergeCell ref="K41:N41"/>
    <mergeCell ref="K42:N42"/>
    <mergeCell ref="O41:R41"/>
    <mergeCell ref="O42:R42"/>
    <mergeCell ref="K43:N43"/>
    <mergeCell ref="K44:N44"/>
    <mergeCell ref="O43:R43"/>
    <mergeCell ref="O44:R44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68"/>
  <sheetViews>
    <sheetView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58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59</v>
      </c>
      <c r="U2" s="7"/>
      <c r="V2" s="76"/>
      <c r="W2" s="117" t="s">
        <v>65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66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34</v>
      </c>
      <c r="U4" s="17"/>
      <c r="V4" s="78"/>
      <c r="W4" s="80">
        <v>6</v>
      </c>
      <c r="X4" s="148" t="s">
        <v>35</v>
      </c>
      <c r="Y4" s="148"/>
      <c r="Z4" s="38">
        <f>sheetqty</f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1.25" customHeight="1">
      <c r="A9" s="3"/>
      <c r="B9" s="19"/>
      <c r="C9" s="71" t="s">
        <v>205</v>
      </c>
      <c r="D9" s="20" t="s">
        <v>200</v>
      </c>
      <c r="E9" s="35"/>
      <c r="F9" s="35"/>
      <c r="G9" s="35"/>
      <c r="H9" s="35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 customHeight="1">
      <c r="A10" s="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1.25" customHeight="1">
      <c r="A11" s="3"/>
      <c r="B11" s="19"/>
      <c r="C11" s="19"/>
      <c r="D11" s="19"/>
      <c r="E11" s="19"/>
      <c r="F11" s="19"/>
      <c r="G11" s="84" t="s">
        <v>145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1.25" customHeight="1">
      <c r="A12" s="3"/>
      <c r="B12" s="19"/>
      <c r="C12" s="19"/>
      <c r="D12" s="178" t="str">
        <f>"J"&amp;AB13&amp;"(x)"</f>
        <v>Jα(x)</v>
      </c>
      <c r="E12" s="178"/>
      <c r="F12" s="177" t="s">
        <v>79</v>
      </c>
      <c r="G12" s="156" t="s">
        <v>81</v>
      </c>
      <c r="H12" s="19"/>
      <c r="I12" s="19"/>
      <c r="J12" s="19"/>
      <c r="K12" s="16" t="s">
        <v>115</v>
      </c>
      <c r="L12" s="16">
        <v>-1</v>
      </c>
      <c r="M12" s="16" t="s">
        <v>146</v>
      </c>
      <c r="N12" s="19" t="str">
        <f>F14</f>
        <v>n</v>
      </c>
      <c r="O12" s="19"/>
      <c r="P12" s="19"/>
      <c r="Q12" s="157" t="s">
        <v>115</v>
      </c>
      <c r="R12" s="16" t="s">
        <v>26</v>
      </c>
      <c r="S12" s="157" t="s">
        <v>146</v>
      </c>
      <c r="T12" s="19" t="str">
        <f>"2 "&amp;F14&amp;" + "&amp;AB13</f>
        <v>2 n + α</v>
      </c>
      <c r="U12" s="19"/>
      <c r="V12" s="19"/>
      <c r="W12" s="19"/>
      <c r="X12" s="19"/>
      <c r="Y12" s="19"/>
      <c r="Z12" s="19"/>
    </row>
    <row r="13" spans="1:28" ht="11.25" customHeight="1">
      <c r="A13" s="3"/>
      <c r="B13" s="19"/>
      <c r="C13" s="19"/>
      <c r="D13" s="178"/>
      <c r="E13" s="178"/>
      <c r="F13" s="177"/>
      <c r="G13" s="156"/>
      <c r="H13" s="83" t="str">
        <f>F14&amp;" !"</f>
        <v>n !</v>
      </c>
      <c r="I13" s="83" t="s">
        <v>147</v>
      </c>
      <c r="J13" s="83" t="s">
        <v>115</v>
      </c>
      <c r="K13" s="83" t="str">
        <f>F14</f>
        <v>n</v>
      </c>
      <c r="L13" s="83" t="s">
        <v>90</v>
      </c>
      <c r="M13" s="83" t="str">
        <f>AB13</f>
        <v>α</v>
      </c>
      <c r="N13" s="83" t="s">
        <v>90</v>
      </c>
      <c r="O13" s="83">
        <v>1</v>
      </c>
      <c r="P13" s="83" t="s">
        <v>84</v>
      </c>
      <c r="Q13" s="157"/>
      <c r="R13" s="83">
        <v>2</v>
      </c>
      <c r="S13" s="157"/>
      <c r="T13" s="19"/>
      <c r="U13" s="19"/>
      <c r="V13" s="19"/>
      <c r="W13" s="19"/>
      <c r="X13" s="19"/>
      <c r="Y13" s="19"/>
      <c r="Z13" s="19"/>
      <c r="AB13" s="89" t="s">
        <v>148</v>
      </c>
    </row>
    <row r="14" spans="1:26" ht="11.25" customHeight="1">
      <c r="A14" s="3"/>
      <c r="B14" s="19"/>
      <c r="C14" s="19"/>
      <c r="D14" s="19"/>
      <c r="E14" s="19"/>
      <c r="F14" s="29" t="s">
        <v>182</v>
      </c>
      <c r="G14" s="16" t="s">
        <v>79</v>
      </c>
      <c r="H14" s="46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1.25" customHeight="1">
      <c r="A15" s="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6" t="s">
        <v>151</v>
      </c>
      <c r="P15" s="85" t="s">
        <v>152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1.25" customHeight="1">
      <c r="A16" s="3"/>
      <c r="B16" s="19"/>
      <c r="C16" s="19"/>
      <c r="D16" s="19"/>
      <c r="E16" s="19"/>
      <c r="F16" s="19" t="s">
        <v>149</v>
      </c>
      <c r="G16" s="19"/>
      <c r="H16" s="35" t="str">
        <f>I13</f>
        <v>Γ</v>
      </c>
      <c r="I16" s="19"/>
      <c r="J16" s="19" t="s">
        <v>150</v>
      </c>
      <c r="K16" s="19"/>
      <c r="L16" s="19"/>
      <c r="M16" s="19"/>
      <c r="N16" s="19"/>
      <c r="O16" s="19"/>
      <c r="P16" s="16" t="str">
        <f>H16</f>
        <v>Γ</v>
      </c>
      <c r="Q16" s="16" t="s">
        <v>115</v>
      </c>
      <c r="R16" s="16">
        <v>1</v>
      </c>
      <c r="S16" s="16" t="s">
        <v>84</v>
      </c>
      <c r="T16" s="19"/>
      <c r="U16" s="19"/>
      <c r="V16" s="16" t="s">
        <v>79</v>
      </c>
      <c r="W16" s="16">
        <v>1</v>
      </c>
      <c r="X16" s="19"/>
      <c r="Y16" s="19"/>
      <c r="Z16" s="19"/>
    </row>
    <row r="17" spans="1:26" ht="11.25" customHeight="1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6" t="str">
        <f>P16</f>
        <v>Γ</v>
      </c>
      <c r="Q17" s="16" t="s">
        <v>115</v>
      </c>
      <c r="R17" s="16" t="str">
        <f>K13</f>
        <v>n</v>
      </c>
      <c r="S17" s="16" t="s">
        <v>90</v>
      </c>
      <c r="T17" s="16">
        <v>1</v>
      </c>
      <c r="U17" s="16" t="s">
        <v>84</v>
      </c>
      <c r="V17" s="16" t="s">
        <v>79</v>
      </c>
      <c r="W17" s="16" t="str">
        <f>R17</f>
        <v>n</v>
      </c>
      <c r="X17" s="19" t="s">
        <v>75</v>
      </c>
      <c r="Y17" s="19"/>
      <c r="Z17" s="19"/>
    </row>
    <row r="18" spans="1:26" ht="11.25" customHeight="1">
      <c r="A18" s="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6" t="s">
        <v>79</v>
      </c>
      <c r="W18" s="16" t="str">
        <f>W17</f>
        <v>n</v>
      </c>
      <c r="X18" s="16" t="str">
        <f>P17&amp;" ("</f>
        <v>Γ (</v>
      </c>
      <c r="Y18" s="16" t="str">
        <f>W18</f>
        <v>n</v>
      </c>
      <c r="Z18" s="19" t="s">
        <v>84</v>
      </c>
    </row>
    <row r="19" spans="1:26" ht="11.25" customHeight="1">
      <c r="A19" s="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1.25" customHeight="1">
      <c r="A20" s="3"/>
      <c r="B20" s="19"/>
      <c r="C20" s="19"/>
      <c r="D20" s="19"/>
      <c r="E20" s="19"/>
      <c r="F20" s="19"/>
      <c r="G20" s="84" t="s">
        <v>145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1.25" customHeight="1">
      <c r="A21" s="3"/>
      <c r="B21" s="19"/>
      <c r="C21" s="19"/>
      <c r="D21" s="178" t="s">
        <v>183</v>
      </c>
      <c r="E21" s="178"/>
      <c r="F21" s="177" t="s">
        <v>79</v>
      </c>
      <c r="G21" s="156" t="s">
        <v>81</v>
      </c>
      <c r="H21" s="16" t="s">
        <v>115</v>
      </c>
      <c r="I21" s="16">
        <v>-1</v>
      </c>
      <c r="J21" s="16" t="s">
        <v>146</v>
      </c>
      <c r="K21" s="19" t="str">
        <f>F23</f>
        <v>n</v>
      </c>
      <c r="L21" s="157" t="s">
        <v>115</v>
      </c>
      <c r="M21" s="16" t="str">
        <f>R12</f>
        <v>x</v>
      </c>
      <c r="N21" s="157" t="s">
        <v>146</v>
      </c>
      <c r="O21" s="19" t="str">
        <f>"2 "&amp;F23</f>
        <v>2 n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1.25" customHeight="1">
      <c r="A22" s="3"/>
      <c r="B22" s="19"/>
      <c r="C22" s="19"/>
      <c r="D22" s="178"/>
      <c r="E22" s="178"/>
      <c r="F22" s="177"/>
      <c r="G22" s="156"/>
      <c r="H22" s="36"/>
      <c r="I22" s="83" t="str">
        <f>F23&amp;" !"</f>
        <v>n !</v>
      </c>
      <c r="J22" s="83" t="s">
        <v>184</v>
      </c>
      <c r="K22" s="83">
        <v>2</v>
      </c>
      <c r="L22" s="157"/>
      <c r="M22" s="83">
        <f>R13</f>
        <v>2</v>
      </c>
      <c r="N22" s="157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1.25" customHeight="1">
      <c r="A23" s="3"/>
      <c r="B23" s="19"/>
      <c r="C23" s="19"/>
      <c r="D23" s="19"/>
      <c r="E23" s="19"/>
      <c r="F23" s="29" t="str">
        <f>F14</f>
        <v>n</v>
      </c>
      <c r="G23" s="16" t="s">
        <v>79</v>
      </c>
      <c r="H23" s="46">
        <f>H14</f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1.25" customHeight="1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1.25" customHeight="1">
      <c r="A25" s="3"/>
      <c r="B25" s="19"/>
      <c r="C25" s="19"/>
      <c r="D25" s="19"/>
      <c r="E25" s="19"/>
      <c r="F25" s="177" t="s">
        <v>79</v>
      </c>
      <c r="G25" s="157">
        <v>1</v>
      </c>
      <c r="H25" s="157" t="s">
        <v>82</v>
      </c>
      <c r="I25" s="19"/>
      <c r="J25" s="16">
        <v>1</v>
      </c>
      <c r="K25" s="19"/>
      <c r="L25" s="157" t="s">
        <v>115</v>
      </c>
      <c r="M25" s="16" t="str">
        <f>M21</f>
        <v>x</v>
      </c>
      <c r="N25" s="157" t="s">
        <v>146</v>
      </c>
      <c r="O25" s="46">
        <f>2*1</f>
        <v>2</v>
      </c>
      <c r="P25" s="157" t="s">
        <v>90</v>
      </c>
      <c r="Q25" s="19"/>
      <c r="R25" s="16">
        <v>1</v>
      </c>
      <c r="S25" s="19"/>
      <c r="T25" s="157" t="s">
        <v>115</v>
      </c>
      <c r="U25" s="16" t="str">
        <f>M25</f>
        <v>x</v>
      </c>
      <c r="V25" s="157" t="s">
        <v>146</v>
      </c>
      <c r="W25" s="46">
        <f>2*2</f>
        <v>4</v>
      </c>
      <c r="X25" s="157" t="s">
        <v>169</v>
      </c>
      <c r="Y25" s="173" t="s">
        <v>177</v>
      </c>
      <c r="Z25" s="173"/>
    </row>
    <row r="26" spans="1:26" ht="11.25" customHeight="1">
      <c r="A26" s="3"/>
      <c r="B26" s="19"/>
      <c r="C26" s="19"/>
      <c r="D26" s="19"/>
      <c r="E26" s="19"/>
      <c r="F26" s="177"/>
      <c r="G26" s="157"/>
      <c r="H26" s="157"/>
      <c r="I26" s="83" t="s">
        <v>185</v>
      </c>
      <c r="J26" s="83" t="s">
        <v>184</v>
      </c>
      <c r="K26" s="83">
        <v>2</v>
      </c>
      <c r="L26" s="157"/>
      <c r="M26" s="83">
        <f>M22</f>
        <v>2</v>
      </c>
      <c r="N26" s="157"/>
      <c r="O26" s="19"/>
      <c r="P26" s="157"/>
      <c r="Q26" s="83" t="s">
        <v>186</v>
      </c>
      <c r="R26" s="83" t="s">
        <v>184</v>
      </c>
      <c r="S26" s="83">
        <v>2</v>
      </c>
      <c r="T26" s="157"/>
      <c r="U26" s="83">
        <f>M26</f>
        <v>2</v>
      </c>
      <c r="V26" s="157"/>
      <c r="W26" s="19"/>
      <c r="X26" s="157"/>
      <c r="Y26" s="173"/>
      <c r="Z26" s="173"/>
    </row>
    <row r="27" spans="1:26" ht="11.25" customHeight="1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1.25" customHeight="1">
      <c r="A28" s="3"/>
      <c r="B28" s="19"/>
      <c r="C28" s="19"/>
      <c r="D28" s="19"/>
      <c r="E28" s="19"/>
      <c r="F28" s="19"/>
      <c r="G28" s="84" t="s">
        <v>145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1.25" customHeight="1">
      <c r="A29" s="3"/>
      <c r="B29" s="19"/>
      <c r="C29" s="19"/>
      <c r="D29" s="178" t="s">
        <v>227</v>
      </c>
      <c r="E29" s="178"/>
      <c r="F29" s="177" t="s">
        <v>79</v>
      </c>
      <c r="G29" s="156" t="s">
        <v>81</v>
      </c>
      <c r="H29" s="16" t="s">
        <v>115</v>
      </c>
      <c r="I29" s="16">
        <v>-1</v>
      </c>
      <c r="J29" s="16" t="s">
        <v>146</v>
      </c>
      <c r="K29" s="19" t="str">
        <f>F31</f>
        <v>n</v>
      </c>
      <c r="L29" s="19"/>
      <c r="M29" s="157" t="s">
        <v>115</v>
      </c>
      <c r="N29" s="16" t="str">
        <f>M21</f>
        <v>x</v>
      </c>
      <c r="O29" s="157" t="s">
        <v>146</v>
      </c>
      <c r="P29" s="19" t="str">
        <f>"2 "&amp;F31&amp;" +1"</f>
        <v>2 n +1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1.25" customHeight="1">
      <c r="A30" s="3"/>
      <c r="B30" s="19"/>
      <c r="C30" s="19"/>
      <c r="D30" s="178"/>
      <c r="E30" s="178"/>
      <c r="F30" s="177"/>
      <c r="G30" s="156"/>
      <c r="H30" s="179" t="str">
        <f>F31&amp;" + 1"</f>
        <v>n + 1</v>
      </c>
      <c r="I30" s="179"/>
      <c r="J30" s="83" t="str">
        <f>F31&amp;" !"</f>
        <v>n !</v>
      </c>
      <c r="K30" s="83" t="s">
        <v>184</v>
      </c>
      <c r="L30" s="83">
        <v>2</v>
      </c>
      <c r="M30" s="157"/>
      <c r="N30" s="83">
        <f>M22</f>
        <v>2</v>
      </c>
      <c r="O30" s="157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1.25" customHeight="1">
      <c r="A31" s="3"/>
      <c r="B31" s="19"/>
      <c r="C31" s="19"/>
      <c r="D31" s="19"/>
      <c r="E31" s="19"/>
      <c r="F31" s="29" t="str">
        <f>F23</f>
        <v>n</v>
      </c>
      <c r="G31" s="16" t="s">
        <v>79</v>
      </c>
      <c r="H31" s="46">
        <f>H23</f>
        <v>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1.25" customHeight="1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3"/>
      <c r="B33" s="19"/>
      <c r="C33" s="19"/>
      <c r="D33" s="19"/>
      <c r="E33" s="19"/>
      <c r="F33" s="177" t="s">
        <v>79</v>
      </c>
      <c r="G33" s="19"/>
      <c r="H33" s="19"/>
      <c r="I33" s="16">
        <v>1</v>
      </c>
      <c r="J33" s="19"/>
      <c r="K33" s="157" t="s">
        <v>115</v>
      </c>
      <c r="L33" s="16" t="str">
        <f>N29</f>
        <v>x</v>
      </c>
      <c r="M33" s="157" t="s">
        <v>146</v>
      </c>
      <c r="N33" s="46">
        <v>1</v>
      </c>
      <c r="O33" s="157" t="s">
        <v>106</v>
      </c>
      <c r="P33" s="19"/>
      <c r="Q33" s="19"/>
      <c r="R33" s="16">
        <v>1</v>
      </c>
      <c r="S33" s="19"/>
      <c r="T33" s="157" t="s">
        <v>115</v>
      </c>
      <c r="U33" s="16" t="str">
        <f>L33</f>
        <v>x</v>
      </c>
      <c r="V33" s="157" t="s">
        <v>146</v>
      </c>
      <c r="W33" s="46">
        <v>3</v>
      </c>
      <c r="X33" s="157" t="s">
        <v>169</v>
      </c>
      <c r="Y33" s="173" t="s">
        <v>177</v>
      </c>
      <c r="Z33" s="173"/>
    </row>
    <row r="34" spans="1:26" ht="11.25" customHeight="1">
      <c r="A34" s="3"/>
      <c r="B34" s="19"/>
      <c r="C34" s="19"/>
      <c r="D34" s="19"/>
      <c r="E34" s="19"/>
      <c r="F34" s="177"/>
      <c r="G34" s="83" t="s">
        <v>228</v>
      </c>
      <c r="H34" s="83" t="s">
        <v>189</v>
      </c>
      <c r="I34" s="83" t="s">
        <v>184</v>
      </c>
      <c r="J34" s="83">
        <v>2</v>
      </c>
      <c r="K34" s="157"/>
      <c r="L34" s="83">
        <f>N30</f>
        <v>2</v>
      </c>
      <c r="M34" s="157"/>
      <c r="N34" s="19"/>
      <c r="O34" s="157"/>
      <c r="P34" s="83" t="s">
        <v>229</v>
      </c>
      <c r="Q34" s="83" t="s">
        <v>188</v>
      </c>
      <c r="R34" s="83" t="s">
        <v>184</v>
      </c>
      <c r="S34" s="83">
        <v>2</v>
      </c>
      <c r="T34" s="157"/>
      <c r="U34" s="83">
        <f>L34</f>
        <v>2</v>
      </c>
      <c r="V34" s="157"/>
      <c r="W34" s="19"/>
      <c r="X34" s="157"/>
      <c r="Y34" s="173"/>
      <c r="Z34" s="173"/>
    </row>
    <row r="35" spans="1:26" ht="11.25" customHeight="1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1.25" customHeight="1">
      <c r="A36" s="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1.2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1.25" customHeight="1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41" ht="11.25" customHeight="1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B41" s="180" t="str">
        <f>F23</f>
        <v>n</v>
      </c>
      <c r="AC41" s="180"/>
      <c r="AD41" s="19" t="str">
        <f>M21</f>
        <v>x</v>
      </c>
      <c r="AE41" s="20">
        <v>1E-11</v>
      </c>
      <c r="AF41" s="86">
        <v>1</v>
      </c>
      <c r="AG41" s="92">
        <v>2</v>
      </c>
      <c r="AH41" s="93">
        <v>3</v>
      </c>
      <c r="AI41" s="92">
        <v>4</v>
      </c>
      <c r="AJ41" s="93">
        <v>5</v>
      </c>
      <c r="AK41" s="92">
        <v>6</v>
      </c>
      <c r="AL41" s="93">
        <v>7</v>
      </c>
      <c r="AM41" s="92">
        <v>8</v>
      </c>
      <c r="AN41" s="92">
        <v>9</v>
      </c>
      <c r="AO41" s="92">
        <v>10</v>
      </c>
    </row>
    <row r="42" spans="1:41" ht="11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B42" s="181">
        <v>20</v>
      </c>
      <c r="AC42" s="181"/>
      <c r="AD42" s="19" t="str">
        <f>D21</f>
        <v>J0(x)</v>
      </c>
      <c r="AE42" s="19">
        <f>Bessel_JnY(AE41,$AB$42,0)</f>
        <v>1</v>
      </c>
      <c r="AF42" s="19">
        <f aca="true" t="shared" si="0" ref="AF42:AM42">Bessel_JnY(AF41,$AB$42,0)</f>
        <v>0.7651976865579666</v>
      </c>
      <c r="AG42" s="19">
        <f t="shared" si="0"/>
        <v>0.22389077914123562</v>
      </c>
      <c r="AH42" s="19">
        <f t="shared" si="0"/>
        <v>-0.26005195490193334</v>
      </c>
      <c r="AI42" s="19">
        <f t="shared" si="0"/>
        <v>-0.3971498098638473</v>
      </c>
      <c r="AJ42" s="19">
        <f t="shared" si="0"/>
        <v>-0.17759677131433857</v>
      </c>
      <c r="AK42" s="19">
        <f t="shared" si="0"/>
        <v>0.15064525725099698</v>
      </c>
      <c r="AL42" s="94">
        <f t="shared" si="0"/>
        <v>0.30007927051955724</v>
      </c>
      <c r="AM42" s="94">
        <f t="shared" si="0"/>
        <v>0.1716508071375614</v>
      </c>
      <c r="AN42" s="94">
        <f>Bessel_JnY(AN41,$AB$42,0)</f>
        <v>-0.09033361118189137</v>
      </c>
      <c r="AO42" s="19">
        <f>Bessel_JnY(AO41,$AB$42,0)</f>
        <v>-0.24593576436863485</v>
      </c>
    </row>
    <row r="43" spans="1:41" ht="11.25" customHeight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B43" s="19"/>
      <c r="AC43" s="19"/>
      <c r="AD43" s="19" t="str">
        <f>D29</f>
        <v>J1(x)</v>
      </c>
      <c r="AE43" s="19">
        <f>Bessel_JnY(AE41,$AB$42,1)</f>
        <v>5E-12</v>
      </c>
      <c r="AF43" s="19">
        <f aca="true" t="shared" si="1" ref="AF43:AM43">Bessel_JnY(AF41,$AB$42,1)</f>
        <v>0.44005058574493355</v>
      </c>
      <c r="AG43" s="19">
        <f t="shared" si="1"/>
        <v>0.5767248077568736</v>
      </c>
      <c r="AH43" s="19">
        <f t="shared" si="1"/>
        <v>0.3390589585259365</v>
      </c>
      <c r="AI43" s="19">
        <f t="shared" si="1"/>
        <v>-0.06604332802354923</v>
      </c>
      <c r="AJ43" s="19">
        <f t="shared" si="1"/>
        <v>-0.32757913759146595</v>
      </c>
      <c r="AK43" s="19">
        <f t="shared" si="1"/>
        <v>-0.27668385812756513</v>
      </c>
      <c r="AL43" s="94">
        <f t="shared" si="1"/>
        <v>-0.004682823482341404</v>
      </c>
      <c r="AM43" s="94">
        <f t="shared" si="1"/>
        <v>0.2346363468539216</v>
      </c>
      <c r="AN43" s="94">
        <f>Bessel_JnY(AN41,$AB$42,1)</f>
        <v>0.2453117865735564</v>
      </c>
      <c r="AO43" s="19">
        <f>Bessel_JnY(AO41,$AB$42,1)</f>
        <v>0.04347274618770527</v>
      </c>
    </row>
    <row r="44" spans="1:26" ht="11.25" customHeight="1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  <row r="65" spans="4:26" ht="11.25">
      <c r="D65" s="19" t="s">
        <v>153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4:26" ht="11.2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4:26" ht="11.25">
      <c r="D67" s="178" t="str">
        <f>"J-"&amp;AB68&amp;"(x)"</f>
        <v>J-n(x)</v>
      </c>
      <c r="E67" s="178"/>
      <c r="F67" s="177" t="s">
        <v>79</v>
      </c>
      <c r="G67" s="157" t="s">
        <v>115</v>
      </c>
      <c r="H67" s="157">
        <v>-1</v>
      </c>
      <c r="I67" s="157" t="s">
        <v>146</v>
      </c>
      <c r="J67" s="19" t="str">
        <f>AB68</f>
        <v>n</v>
      </c>
      <c r="K67" s="178" t="str">
        <f>"J"&amp;AB68&amp;"(x)"</f>
        <v>Jn(x)</v>
      </c>
      <c r="L67" s="178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4:28" ht="11.25">
      <c r="D68" s="178"/>
      <c r="E68" s="178"/>
      <c r="F68" s="177"/>
      <c r="G68" s="157"/>
      <c r="H68" s="157"/>
      <c r="I68" s="157"/>
      <c r="J68" s="19"/>
      <c r="K68" s="178"/>
      <c r="L68" s="178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B68" s="89" t="s">
        <v>74</v>
      </c>
    </row>
  </sheetData>
  <mergeCells count="47">
    <mergeCell ref="H30:I30"/>
    <mergeCell ref="AB41:AC41"/>
    <mergeCell ref="AB42:AC42"/>
    <mergeCell ref="O33:O34"/>
    <mergeCell ref="T33:T34"/>
    <mergeCell ref="V33:V34"/>
    <mergeCell ref="X33:X34"/>
    <mergeCell ref="M29:M30"/>
    <mergeCell ref="O29:O30"/>
    <mergeCell ref="F33:F34"/>
    <mergeCell ref="K33:K34"/>
    <mergeCell ref="M33:M34"/>
    <mergeCell ref="Y33:Z34"/>
    <mergeCell ref="B1:S2"/>
    <mergeCell ref="B3:S4"/>
    <mergeCell ref="X4:Y4"/>
    <mergeCell ref="W1:Z1"/>
    <mergeCell ref="W2:Z2"/>
    <mergeCell ref="D12:E13"/>
    <mergeCell ref="F12:F13"/>
    <mergeCell ref="G12:G13"/>
    <mergeCell ref="Q12:Q13"/>
    <mergeCell ref="S12:S13"/>
    <mergeCell ref="D67:E68"/>
    <mergeCell ref="F67:F68"/>
    <mergeCell ref="G67:G68"/>
    <mergeCell ref="H67:H68"/>
    <mergeCell ref="I67:I68"/>
    <mergeCell ref="K67:L68"/>
    <mergeCell ref="D29:E30"/>
    <mergeCell ref="F29:F30"/>
    <mergeCell ref="G29:G30"/>
    <mergeCell ref="D21:E22"/>
    <mergeCell ref="F21:F22"/>
    <mergeCell ref="G21:G22"/>
    <mergeCell ref="L21:L22"/>
    <mergeCell ref="N21:N22"/>
    <mergeCell ref="F25:F26"/>
    <mergeCell ref="G25:G26"/>
    <mergeCell ref="H25:H26"/>
    <mergeCell ref="L25:L26"/>
    <mergeCell ref="N25:N26"/>
    <mergeCell ref="Y25:Z26"/>
    <mergeCell ref="P25:P26"/>
    <mergeCell ref="T25:T26"/>
    <mergeCell ref="V25:V26"/>
    <mergeCell ref="X25:X26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Y68"/>
  <sheetViews>
    <sheetView view="pageBreakPreview" zoomScaleSheetLayoutView="100" workbookViewId="0" topLeftCell="A1">
      <selection activeCell="R6" sqref="R6"/>
    </sheetView>
  </sheetViews>
  <sheetFormatPr defaultColWidth="8.88671875" defaultRowHeight="13.5"/>
  <cols>
    <col min="1" max="52" width="2.99609375" style="2" customWidth="1"/>
    <col min="53" max="16384" width="8.88671875" style="2" customWidth="1"/>
  </cols>
  <sheetData>
    <row r="1" spans="2:26" ht="11.25" customHeight="1">
      <c r="B1" s="137" t="str">
        <f>"   "&amp;title2&amp;"  :"</f>
        <v>   Technical   Material  :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0" t="s">
        <v>58</v>
      </c>
      <c r="U1" s="11"/>
      <c r="V1" s="75"/>
      <c r="W1" s="149" t="str">
        <f>docno</f>
        <v>TM - MFN - 100</v>
      </c>
      <c r="X1" s="127"/>
      <c r="Y1" s="127"/>
      <c r="Z1" s="150"/>
    </row>
    <row r="2" spans="2:26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6" t="s">
        <v>59</v>
      </c>
      <c r="U2" s="7"/>
      <c r="V2" s="76"/>
      <c r="W2" s="117" t="s">
        <v>65</v>
      </c>
      <c r="X2" s="151"/>
      <c r="Y2" s="151"/>
      <c r="Z2" s="152"/>
    </row>
    <row r="3" spans="1:26" ht="11.25" customHeight="1">
      <c r="A3" s="3"/>
      <c r="B3" s="143" t="str">
        <f>title</f>
        <v>M A T H E M A T I C     F U N C T I O N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4"/>
      <c r="T3" s="6" t="s">
        <v>66</v>
      </c>
      <c r="U3" s="7"/>
      <c r="V3" s="77"/>
      <c r="W3" s="79">
        <v>0</v>
      </c>
      <c r="X3" s="73"/>
      <c r="Y3" s="73"/>
      <c r="Z3" s="74"/>
    </row>
    <row r="4" spans="1:26" ht="11.25" customHeight="1">
      <c r="A4" s="3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34" t="s">
        <v>34</v>
      </c>
      <c r="U4" s="17"/>
      <c r="V4" s="78"/>
      <c r="W4" s="80">
        <v>7</v>
      </c>
      <c r="X4" s="148" t="s">
        <v>35</v>
      </c>
      <c r="Y4" s="148"/>
      <c r="Z4" s="38">
        <f>sheetqty</f>
        <v>12</v>
      </c>
    </row>
    <row r="5" spans="1:26" ht="11.2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1.25" customHeight="1">
      <c r="A6" s="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1.25" customHeight="1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1.25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1.25" customHeight="1">
      <c r="A9" s="3"/>
      <c r="B9" s="19"/>
      <c r="C9" s="71" t="s">
        <v>206</v>
      </c>
      <c r="D9" s="20" t="s">
        <v>201</v>
      </c>
      <c r="E9" s="35"/>
      <c r="F9" s="35"/>
      <c r="G9" s="35"/>
      <c r="H9" s="35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 customHeight="1">
      <c r="A10" s="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1.25" customHeight="1">
      <c r="A11" s="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7" ht="11.25" customHeight="1">
      <c r="A12" s="3"/>
      <c r="B12" s="19"/>
      <c r="C12" s="19"/>
      <c r="D12" s="178" t="str">
        <f>"Y"&amp;AB13&amp;"(x)"</f>
        <v>Yα(x)</v>
      </c>
      <c r="E12" s="178"/>
      <c r="F12" s="177" t="s">
        <v>162</v>
      </c>
      <c r="G12" s="182" t="s">
        <v>231</v>
      </c>
      <c r="H12" s="182"/>
      <c r="I12" s="184" t="str">
        <f>"cos ( "&amp;AB13&amp;" π )"</f>
        <v>cos ( α π )</v>
      </c>
      <c r="J12" s="184"/>
      <c r="K12" s="16" t="s">
        <v>173</v>
      </c>
      <c r="L12" s="182" t="s">
        <v>230</v>
      </c>
      <c r="M12" s="18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8" ht="11.25" customHeight="1">
      <c r="A13" s="3"/>
      <c r="B13" s="19"/>
      <c r="C13" s="19"/>
      <c r="D13" s="178"/>
      <c r="E13" s="178"/>
      <c r="F13" s="177"/>
      <c r="G13" s="36"/>
      <c r="H13" s="36"/>
      <c r="I13" s="183" t="str">
        <f>"sin ( "&amp;AB13&amp;" π )"</f>
        <v>sin ( α π )</v>
      </c>
      <c r="J13" s="183"/>
      <c r="K13" s="183"/>
      <c r="L13" s="36"/>
      <c r="M13" s="36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89" t="s">
        <v>192</v>
      </c>
    </row>
    <row r="14" spans="1:26" ht="11.25" customHeight="1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1.25" customHeight="1">
      <c r="A15" s="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1.25" customHeight="1">
      <c r="A16" s="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1.25" customHeight="1">
      <c r="A17" s="3"/>
      <c r="B17" s="19"/>
      <c r="C17" s="19"/>
      <c r="D17" s="178" t="s">
        <v>232</v>
      </c>
      <c r="E17" s="178"/>
      <c r="F17" s="177" t="s">
        <v>162</v>
      </c>
      <c r="G17" s="16">
        <v>2</v>
      </c>
      <c r="H17" s="157" t="s">
        <v>88</v>
      </c>
      <c r="I17" s="157" t="s">
        <v>83</v>
      </c>
      <c r="J17" s="16" t="s">
        <v>233</v>
      </c>
      <c r="K17" s="157" t="s">
        <v>84</v>
      </c>
      <c r="L17" s="157" t="s">
        <v>90</v>
      </c>
      <c r="M17" s="157" t="s">
        <v>234</v>
      </c>
      <c r="N17" s="157" t="s">
        <v>89</v>
      </c>
      <c r="O17" s="154" t="s">
        <v>183</v>
      </c>
      <c r="P17" s="154"/>
      <c r="Q17" s="19"/>
      <c r="R17" s="19"/>
      <c r="S17" s="16" t="s">
        <v>197</v>
      </c>
      <c r="T17" s="16" t="str">
        <f>M17</f>
        <v>γ</v>
      </c>
      <c r="U17" s="16" t="s">
        <v>144</v>
      </c>
      <c r="V17" s="19" t="s">
        <v>196</v>
      </c>
      <c r="W17" s="19"/>
      <c r="X17" s="19"/>
      <c r="Y17" s="19"/>
      <c r="Z17" s="19"/>
    </row>
    <row r="18" spans="1:26" ht="11.25" customHeight="1">
      <c r="A18" s="3"/>
      <c r="B18" s="19"/>
      <c r="C18" s="19"/>
      <c r="D18" s="178"/>
      <c r="E18" s="178"/>
      <c r="F18" s="177"/>
      <c r="G18" s="83" t="s">
        <v>235</v>
      </c>
      <c r="H18" s="157"/>
      <c r="I18" s="157"/>
      <c r="J18" s="83">
        <v>2</v>
      </c>
      <c r="K18" s="157"/>
      <c r="L18" s="157"/>
      <c r="M18" s="157"/>
      <c r="N18" s="157"/>
      <c r="O18" s="154"/>
      <c r="P18" s="154"/>
      <c r="Q18" s="19"/>
      <c r="R18" s="19"/>
      <c r="S18" s="19"/>
      <c r="T18" s="19"/>
      <c r="U18" s="19"/>
      <c r="V18" s="19" t="s">
        <v>79</v>
      </c>
      <c r="W18" s="185">
        <v>0.57721566</v>
      </c>
      <c r="X18" s="185"/>
      <c r="Y18" s="185"/>
      <c r="Z18" s="19"/>
    </row>
    <row r="19" spans="1:26" ht="11.25" customHeight="1">
      <c r="A19" s="3"/>
      <c r="B19" s="19"/>
      <c r="C19" s="19"/>
      <c r="D19" s="19"/>
      <c r="E19" s="19"/>
      <c r="F19" s="19"/>
      <c r="G19" s="19"/>
      <c r="H19" s="84" t="s">
        <v>161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1.25" customHeight="1">
      <c r="A20" s="3"/>
      <c r="B20" s="19"/>
      <c r="C20" s="19"/>
      <c r="D20" s="19"/>
      <c r="E20" s="19"/>
      <c r="F20" s="157" t="s">
        <v>82</v>
      </c>
      <c r="G20" s="16">
        <f>G17</f>
        <v>2</v>
      </c>
      <c r="H20" s="156" t="s">
        <v>164</v>
      </c>
      <c r="I20" s="16" t="s">
        <v>115</v>
      </c>
      <c r="J20" s="16">
        <v>-1</v>
      </c>
      <c r="K20" s="16" t="s">
        <v>146</v>
      </c>
      <c r="L20" s="46" t="str">
        <f>G22&amp;" +1"</f>
        <v>n +1</v>
      </c>
      <c r="M20" s="157" t="s">
        <v>165</v>
      </c>
      <c r="N20" s="16" t="str">
        <f>J17</f>
        <v>x</v>
      </c>
      <c r="O20" s="157" t="s">
        <v>167</v>
      </c>
      <c r="P20" s="46" t="str">
        <f>"2 "&amp;G22&amp;" +2 "</f>
        <v>2 n +2 </v>
      </c>
      <c r="Q20" s="19"/>
      <c r="R20" s="157" t="str">
        <f>"Φ ( "&amp;G22&amp;" + 1 )"</f>
        <v>Φ ( n + 1 )</v>
      </c>
      <c r="S20" s="157"/>
      <c r="T20" s="157"/>
      <c r="U20" s="19"/>
      <c r="V20" s="19"/>
      <c r="W20" s="19"/>
      <c r="X20" s="19"/>
      <c r="Y20" s="19"/>
      <c r="Z20" s="19"/>
    </row>
    <row r="21" spans="1:26" ht="11.25" customHeight="1">
      <c r="A21" s="3"/>
      <c r="B21" s="19"/>
      <c r="C21" s="19"/>
      <c r="D21" s="19"/>
      <c r="E21" s="19"/>
      <c r="F21" s="157"/>
      <c r="G21" s="83" t="str">
        <f>G18</f>
        <v>π</v>
      </c>
      <c r="H21" s="156"/>
      <c r="I21" s="179" t="str">
        <f>G22&amp;" + 1 !"</f>
        <v>n + 1 !</v>
      </c>
      <c r="J21" s="179"/>
      <c r="K21" s="83" t="s">
        <v>184</v>
      </c>
      <c r="L21" s="83">
        <v>2</v>
      </c>
      <c r="M21" s="157"/>
      <c r="N21" s="83">
        <f>J18</f>
        <v>2</v>
      </c>
      <c r="O21" s="157"/>
      <c r="P21" s="19"/>
      <c r="Q21" s="19"/>
      <c r="R21" s="157"/>
      <c r="S21" s="157"/>
      <c r="T21" s="157"/>
      <c r="U21" s="19"/>
      <c r="V21" s="19"/>
      <c r="W21" s="19"/>
      <c r="X21" s="19"/>
      <c r="Y21" s="19"/>
      <c r="Z21" s="19"/>
    </row>
    <row r="22" spans="1:26" ht="11.25" customHeight="1">
      <c r="A22" s="3"/>
      <c r="B22" s="19"/>
      <c r="C22" s="19"/>
      <c r="D22" s="19"/>
      <c r="E22" s="19"/>
      <c r="F22" s="19"/>
      <c r="G22" s="29" t="s">
        <v>236</v>
      </c>
      <c r="H22" s="16" t="s">
        <v>79</v>
      </c>
      <c r="I22" s="46"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1.25" customHeight="1">
      <c r="A23" s="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1.25" customHeight="1">
      <c r="A24" s="3"/>
      <c r="B24" s="19"/>
      <c r="C24" s="19"/>
      <c r="D24" s="19"/>
      <c r="E24" s="19"/>
      <c r="F24" s="19" t="s">
        <v>149</v>
      </c>
      <c r="G24" s="19"/>
      <c r="H24" s="154" t="str">
        <f>R20</f>
        <v>Φ ( n + 1 )</v>
      </c>
      <c r="I24" s="154"/>
      <c r="J24" s="157" t="s">
        <v>162</v>
      </c>
      <c r="K24" s="157">
        <v>1</v>
      </c>
      <c r="L24" s="157" t="s">
        <v>90</v>
      </c>
      <c r="M24" s="16">
        <v>1</v>
      </c>
      <c r="N24" s="157" t="s">
        <v>90</v>
      </c>
      <c r="O24" s="173" t="s">
        <v>177</v>
      </c>
      <c r="P24" s="173"/>
      <c r="Q24" s="157" t="s">
        <v>90</v>
      </c>
      <c r="R24" s="16">
        <v>1</v>
      </c>
      <c r="S24" s="19"/>
      <c r="T24" s="157" t="s">
        <v>151</v>
      </c>
      <c r="U24" s="154" t="str">
        <f>"Φ ( "&amp;0&amp;" )"</f>
        <v>Φ ( 0 )</v>
      </c>
      <c r="V24" s="154"/>
      <c r="W24" s="177" t="s">
        <v>162</v>
      </c>
      <c r="X24" s="157">
        <v>0</v>
      </c>
      <c r="Y24" s="19"/>
      <c r="Z24" s="19"/>
    </row>
    <row r="25" spans="1:26" ht="11.25" customHeight="1">
      <c r="A25" s="3"/>
      <c r="B25" s="19"/>
      <c r="C25" s="19"/>
      <c r="D25" s="19"/>
      <c r="E25" s="19"/>
      <c r="F25" s="19"/>
      <c r="G25" s="19"/>
      <c r="H25" s="154"/>
      <c r="I25" s="154"/>
      <c r="J25" s="157"/>
      <c r="K25" s="157"/>
      <c r="L25" s="157"/>
      <c r="M25" s="83">
        <v>2</v>
      </c>
      <c r="N25" s="157"/>
      <c r="O25" s="173"/>
      <c r="P25" s="173"/>
      <c r="Q25" s="157"/>
      <c r="R25" s="83" t="str">
        <f>G22&amp;" + 1"</f>
        <v>n + 1</v>
      </c>
      <c r="S25" s="19"/>
      <c r="T25" s="157"/>
      <c r="U25" s="154"/>
      <c r="V25" s="154"/>
      <c r="W25" s="177"/>
      <c r="X25" s="157"/>
      <c r="Y25" s="19"/>
      <c r="Z25" s="19"/>
    </row>
    <row r="26" spans="1:26" ht="11.25" customHeight="1">
      <c r="A26" s="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1.25" customHeight="1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1.25" customHeigh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1.25" customHeight="1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1.25" customHeight="1">
      <c r="A30" s="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1.25" customHeight="1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1.25" customHeight="1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1.25" customHeight="1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1.25" customHeight="1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1.25" customHeight="1">
      <c r="A36" s="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1.2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1.25" customHeight="1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51" ht="11.25" customHeight="1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B41" s="180" t="str">
        <f>G22</f>
        <v>n</v>
      </c>
      <c r="AC41" s="180"/>
      <c r="AD41" s="19" t="str">
        <f>N20</f>
        <v>x</v>
      </c>
      <c r="AE41" s="20">
        <v>0.01</v>
      </c>
      <c r="AF41" s="86">
        <v>1</v>
      </c>
      <c r="AG41" s="92">
        <v>2</v>
      </c>
      <c r="AH41" s="93">
        <v>3</v>
      </c>
      <c r="AI41" s="92">
        <v>4</v>
      </c>
      <c r="AJ41" s="93">
        <v>5</v>
      </c>
      <c r="AK41" s="92">
        <v>6</v>
      </c>
      <c r="AL41" s="93">
        <v>7</v>
      </c>
      <c r="AM41" s="92">
        <v>8</v>
      </c>
      <c r="AN41" s="92">
        <v>9</v>
      </c>
      <c r="AO41" s="92">
        <v>10</v>
      </c>
      <c r="AP41" s="92">
        <v>11</v>
      </c>
      <c r="AQ41" s="92">
        <v>12</v>
      </c>
      <c r="AR41" s="92">
        <v>13</v>
      </c>
      <c r="AS41" s="92">
        <v>14</v>
      </c>
      <c r="AT41" s="92">
        <v>15</v>
      </c>
      <c r="AU41" s="92">
        <v>16</v>
      </c>
      <c r="AV41" s="92">
        <v>17</v>
      </c>
      <c r="AW41" s="92">
        <v>18</v>
      </c>
      <c r="AX41" s="92">
        <v>19</v>
      </c>
      <c r="AY41" s="92">
        <v>20</v>
      </c>
    </row>
    <row r="42" spans="1:51" ht="11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B42" s="181">
        <v>30</v>
      </c>
      <c r="AC42" s="181"/>
      <c r="AD42" s="19" t="str">
        <f>D17</f>
        <v>Y0(x)</v>
      </c>
      <c r="AE42" s="19">
        <f>Bessel_JnY(AE41,$AB$42,10)</f>
        <v>-3.0054581788059016</v>
      </c>
      <c r="AF42" s="19">
        <f aca="true" t="shared" si="0" ref="AF42:AO42">Bessel_JnY(AF41,$AB$42,10)</f>
        <v>0.08825703637547387</v>
      </c>
      <c r="AG42" s="19">
        <f t="shared" si="0"/>
        <v>0.5103761030473654</v>
      </c>
      <c r="AH42" s="19">
        <f t="shared" si="0"/>
        <v>0.3768503291361155</v>
      </c>
      <c r="AI42" s="19">
        <f t="shared" si="0"/>
        <v>-0.01694075239503484</v>
      </c>
      <c r="AJ42" s="19">
        <f t="shared" si="0"/>
        <v>-0.3085178852887683</v>
      </c>
      <c r="AK42" s="19">
        <f t="shared" si="0"/>
        <v>-0.2881949278794943</v>
      </c>
      <c r="AL42" s="19">
        <f t="shared" si="0"/>
        <v>-0.025949766822405684</v>
      </c>
      <c r="AM42" s="19">
        <f t="shared" si="0"/>
        <v>0.22352167765264988</v>
      </c>
      <c r="AN42" s="19">
        <f t="shared" si="0"/>
        <v>0.24993690967968243</v>
      </c>
      <c r="AO42" s="19">
        <f t="shared" si="0"/>
        <v>0.055671215074461655</v>
      </c>
      <c r="AP42" s="19">
        <f aca="true" t="shared" si="1" ref="AP42:AY42">Bessel_JnY(AP41,$AB$42,10)</f>
        <v>-0.16884746597708494</v>
      </c>
      <c r="AQ42" s="19">
        <f t="shared" si="1"/>
        <v>-0.22523750303290496</v>
      </c>
      <c r="AR42" s="19">
        <f t="shared" si="1"/>
        <v>-0.07820793123402764</v>
      </c>
      <c r="AS42" s="19">
        <f t="shared" si="1"/>
        <v>0.1271926754912684</v>
      </c>
      <c r="AT42" s="19">
        <f t="shared" si="1"/>
        <v>0.2054644696348656</v>
      </c>
      <c r="AU42" s="19">
        <f t="shared" si="1"/>
        <v>0.0958110785231257</v>
      </c>
      <c r="AV42" s="19">
        <f t="shared" si="1"/>
        <v>-0.09263727601670188</v>
      </c>
      <c r="AW42" s="19">
        <f t="shared" si="1"/>
        <v>-0.18755231393841723</v>
      </c>
      <c r="AX42" s="19">
        <f t="shared" si="1"/>
        <v>-0.10951966967723431</v>
      </c>
      <c r="AY42" s="19">
        <f t="shared" si="1"/>
        <v>0.06264345904666765</v>
      </c>
    </row>
    <row r="43" spans="1:26" ht="11.25" customHeight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1.25" customHeight="1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1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>
      <c r="A63" s="3"/>
      <c r="B63" s="19" t="str">
        <f>cosymbol</f>
        <v> NTES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S63" s="19"/>
      <c r="T63" s="19"/>
      <c r="U63" s="19"/>
      <c r="V63" s="19"/>
      <c r="W63" s="19"/>
      <c r="X63" s="19"/>
      <c r="Y63" s="19"/>
      <c r="Z63" s="29" t="str">
        <f>coname</f>
        <v>Narai  Thermal  Engineering  Services </v>
      </c>
    </row>
    <row r="64" ht="11.25" customHeight="1">
      <c r="A64" s="3"/>
    </row>
    <row r="65" spans="4:26" ht="11.25">
      <c r="D65" s="19" t="s">
        <v>153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4:26" ht="11.2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4:26" ht="11.25">
      <c r="D67" s="178" t="str">
        <f>"Y-"&amp;AB68&amp;"(x)"</f>
        <v>Y-n(x)</v>
      </c>
      <c r="E67" s="178"/>
      <c r="F67" s="177" t="s">
        <v>79</v>
      </c>
      <c r="G67" s="157" t="s">
        <v>115</v>
      </c>
      <c r="H67" s="157">
        <v>-1</v>
      </c>
      <c r="I67" s="157" t="s">
        <v>146</v>
      </c>
      <c r="J67" s="19" t="str">
        <f>AB68</f>
        <v>n</v>
      </c>
      <c r="K67" s="178" t="str">
        <f>"Y"&amp;AB68&amp;"(x)"</f>
        <v>Yn(x)</v>
      </c>
      <c r="L67" s="178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4:28" ht="11.25">
      <c r="D68" s="178"/>
      <c r="E68" s="178"/>
      <c r="F68" s="177"/>
      <c r="G68" s="157"/>
      <c r="H68" s="157"/>
      <c r="I68" s="157"/>
      <c r="J68" s="19"/>
      <c r="K68" s="178"/>
      <c r="L68" s="178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B68" s="89" t="s">
        <v>74</v>
      </c>
    </row>
  </sheetData>
  <mergeCells count="46">
    <mergeCell ref="AB42:AC42"/>
    <mergeCell ref="U24:V25"/>
    <mergeCell ref="W24:W25"/>
    <mergeCell ref="X24:X25"/>
    <mergeCell ref="AB41:AC41"/>
    <mergeCell ref="N24:N25"/>
    <mergeCell ref="O24:P25"/>
    <mergeCell ref="Q24:Q25"/>
    <mergeCell ref="T24:T25"/>
    <mergeCell ref="H24:I25"/>
    <mergeCell ref="J24:J25"/>
    <mergeCell ref="K24:K25"/>
    <mergeCell ref="L24:L25"/>
    <mergeCell ref="R20:T21"/>
    <mergeCell ref="W18:Y18"/>
    <mergeCell ref="H17:H18"/>
    <mergeCell ref="I17:I18"/>
    <mergeCell ref="K17:K18"/>
    <mergeCell ref="L17:L18"/>
    <mergeCell ref="H20:H21"/>
    <mergeCell ref="M20:M21"/>
    <mergeCell ref="O20:O21"/>
    <mergeCell ref="I21:J21"/>
    <mergeCell ref="G67:G68"/>
    <mergeCell ref="H67:H68"/>
    <mergeCell ref="I67:I68"/>
    <mergeCell ref="K67:L68"/>
    <mergeCell ref="D67:E68"/>
    <mergeCell ref="B3:S4"/>
    <mergeCell ref="I13:K13"/>
    <mergeCell ref="I12:J12"/>
    <mergeCell ref="D17:E18"/>
    <mergeCell ref="D12:E13"/>
    <mergeCell ref="M17:M18"/>
    <mergeCell ref="N17:N18"/>
    <mergeCell ref="O17:P18"/>
    <mergeCell ref="F20:F21"/>
    <mergeCell ref="F67:F68"/>
    <mergeCell ref="X4:Y4"/>
    <mergeCell ref="W1:Z1"/>
    <mergeCell ref="W2:Z2"/>
    <mergeCell ref="F12:F13"/>
    <mergeCell ref="L12:M12"/>
    <mergeCell ref="G12:H12"/>
    <mergeCell ref="F17:F18"/>
    <mergeCell ref="B1:S2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2019-06-09T08:27:05Z</cp:lastPrinted>
  <dcterms:created xsi:type="dcterms:W3CDTF">2003-02-24T11:18:01Z</dcterms:created>
  <dcterms:modified xsi:type="dcterms:W3CDTF">2019-06-09T08:27:15Z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